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K:\SLMarket\Intermediary &amp; Landlord Marketing\Upload folder\"/>
    </mc:Choice>
  </mc:AlternateContent>
  <xr:revisionPtr revIDLastSave="0" documentId="8_{C2CA4605-3639-4FB0-ABF6-16FAB5F1CF20}" xr6:coauthVersionLast="47" xr6:coauthVersionMax="47" xr10:uidLastSave="{00000000-0000-0000-0000-000000000000}"/>
  <workbookProtection workbookAlgorithmName="SHA-512" workbookHashValue="TGUQ489zf1s/S45X7tqCmXrZ0VUtHUjrpR6kfEBgRU+HJGtS4jnq4W1DjrpszpVF1JFe00sM49xC5YI0FJJicQ==" workbookSaltValue="Il/vGlAZnifMMoMBr4PYOA==" workbookSpinCount="100000" lockStructure="1"/>
  <bookViews>
    <workbookView xWindow="28680" yWindow="-120" windowWidth="29040" windowHeight="15720" activeTab="2" xr2:uid="{00000000-000D-0000-FFFF-FFFF00000000}"/>
  </bookViews>
  <sheets>
    <sheet name="Portfolio Schedule" sheetId="2" r:id="rId1"/>
    <sheet name="Portfolio Review" sheetId="3" r:id="rId2"/>
    <sheet name="Introduction" sheetId="4" r:id="rId3"/>
    <sheet name="Lookups" sheetId="5" state="hidden" r:id="rId4"/>
  </sheets>
  <externalReferences>
    <externalReference r:id="rId5"/>
  </externalReferences>
  <definedNames>
    <definedName name="_AMO_XmlVersion" hidden="1">"'1'"</definedName>
    <definedName name="ACR_Anchor">'Portfolio Review'!$T$11</definedName>
    <definedName name="AddressArray">'Portfolio Schedule'!$C$1:$C$515</definedName>
    <definedName name="AML_Deposit_Sources">'[1]AML Assessment Form'!$K$90:$L$97</definedName>
    <definedName name="App1_LRTP">[1]Transaction!$N$37</definedName>
    <definedName name="App2_LRTP">[1]Transaction!$O$37</definedName>
    <definedName name="BDMName">[1]Transaction!$Q$10</definedName>
    <definedName name="BrokerEmail">[1]Transaction!$Q$9</definedName>
    <definedName name="CapRaiseArray">'Portfolio Review'!$T$11:$T$509</definedName>
    <definedName name="CoverSheetApplicantName">Introduction!$D$4</definedName>
    <definedName name="CoverSheetCapitalRaising">Introduction!$D$5</definedName>
    <definedName name="CRU_PortfolioToolStart">'[1]Holistic Assessment'!#REF!</definedName>
    <definedName name="CurrentEstimatedValuationArray">'Portfolio Schedule'!$O$1:$O$515</definedName>
    <definedName name="DefaultFAStressRate">Lookups!$E$18</definedName>
    <definedName name="DefaultProductStressRate">Lookups!$E$15</definedName>
    <definedName name="ERC_Anchor">'Portfolio Review'!$I$11</definedName>
    <definedName name="FinalMandate">'[1]Portfolio Calculations'!$J$42</definedName>
    <definedName name="ICR_HMO">'[1]Stress &amp; Exposure Tables'!$D$11</definedName>
    <definedName name="ICR_LRTP">'[1]Stress &amp; Exposure Tables'!$D$10</definedName>
    <definedName name="ICR_LTD">'[1]Stress &amp; Exposure Tables'!$D$12</definedName>
    <definedName name="ICR_STD">'[1]Stress &amp; Exposure Tables'!$D$9</definedName>
    <definedName name="Ltd_DetailStart">#REF!</definedName>
    <definedName name="Ltd_StructStart">#REF!</definedName>
    <definedName name="LtdCoType">#REF!</definedName>
    <definedName name="Main_Deposit_Source">[1]Transaction!$D$53</definedName>
    <definedName name="MaxLoan_LTB">'[1]Stress &amp; Exposure Tables'!$S$32:$T$37</definedName>
    <definedName name="Min_ICR">Lookups!$A$2:$D$5</definedName>
    <definedName name="MNB_AppResCheck">'[1]MNB Assessment'!$M$56</definedName>
    <definedName name="MNB_LtdCoCheck">'[1]MNB Assessment'!$M$92</definedName>
    <definedName name="MNB_PlausCheck">'[1]MNB Assessment'!$M$85</definedName>
    <definedName name="MNB_PortExpCheck">'[1]MNB Assessment'!$M$155</definedName>
    <definedName name="MNB_PortLTVCheck">'[1]MNB Assessment'!$M$137</definedName>
    <definedName name="MNB_PortSusCheck">'[1]MNB Assessment'!$M$145</definedName>
    <definedName name="MNB_PortValCheck">'[1]MNB Assessment'!$M$108</definedName>
    <definedName name="MNB_PostValCheck">'[1]MNB Assessment'!$M$161</definedName>
    <definedName name="MNB_TransRiskCheck">'[1]MNB Assessment'!$M$66</definedName>
    <definedName name="MonthlyRentalArray">'Portfolio Schedule'!$P$1:$P$515</definedName>
    <definedName name="MortgageArray">'Portfolio Review'!$M$11:$M$509</definedName>
    <definedName name="MortgageBalanceArray">'Portfolio Schedule'!$M$1:$M$515</definedName>
    <definedName name="OOS_Anchor">'Portfolio Review'!$V$11</definedName>
    <definedName name="OrderOfSubArray">'Portfolio Review'!$V$11:$V$509</definedName>
    <definedName name="OriginalLenderArray">'Portfolio Review'!$B$11:$B$509</definedName>
    <definedName name="OtherStart">'Portfolio Review'!$F$13</definedName>
    <definedName name="OwnershipStatus_App1">[1]Transaction!$H$46</definedName>
    <definedName name="OwnershipStatus_App2">[1]Transaction!$I$46</definedName>
    <definedName name="PILOT_BTL">'Portfolio Schedule'!$R$8</definedName>
    <definedName name="PILOT_RESI">'Portfolio Schedule'!$R$3</definedName>
    <definedName name="PILOT_TOTAL">'Portfolio Schedule'!$A$24</definedName>
    <definedName name="Port_Bal">'Portfolio Review'!$AL$2</definedName>
    <definedName name="Port_Count">'Portfolio Review'!$AL$3</definedName>
    <definedName name="Port_LTVCap">Lookups!$E$11</definedName>
    <definedName name="Port_Rent">'Portfolio Review'!$AH$3</definedName>
    <definedName name="Port_Stress">Lookups!$E$12</definedName>
    <definedName name="Port_Val">'Portfolio Review'!$AH$2</definedName>
    <definedName name="PortCalc_Tier">'[1]Portfolio Calculations'!$D$6</definedName>
    <definedName name="Portfolio_Minimum_ICR">'[1]Stress &amp; Exposure Tables'!$G$11</definedName>
    <definedName name="PortfolioStressRate">'[1]Portfolio Calculations'!$D$7</definedName>
    <definedName name="PortfolioSubmissionRoute">'[1]Stress &amp; Exposure Tables'!$C$49</definedName>
    <definedName name="PortTool_AutomatedTriggerText">Lookups!$Q$3:$Q$13</definedName>
    <definedName name="PortTool_EquityAvailable">'Portfolio Review'!$T$3</definedName>
    <definedName name="PortTool_EXTCapR">Lookups!$H$3</definedName>
    <definedName name="PortTool_FARate">'Portfolio Review'!$R$8</definedName>
    <definedName name="PortTool_MinLoanStressRate">Lookups!$E$17</definedName>
    <definedName name="PortTool_OtherRentalProperties">'Portfolio Review'!#REF!</definedName>
    <definedName name="PortTool_ProductStressRate">'Portfolio Review'!$P$8</definedName>
    <definedName name="PortTool_TMWCapR">Lookups!$H$2</definedName>
    <definedName name="PortTool_UWNotes">'Portfolio Review'!$H$50</definedName>
    <definedName name="RentalArray">'Portfolio Review'!$K$11:$K$509</definedName>
    <definedName name="Tier_Figs">Lookups!$G$8:$I$9</definedName>
    <definedName name="TMWStart">'Portfolio Review'!$F$31</definedName>
    <definedName name="TotalLoanArray">'Portfolio Review'!$Z$11:$Z$509</definedName>
    <definedName name="Trans_DepositAmounts">[1]Transaction!$D$46:$D$51</definedName>
    <definedName name="Trans_DepositSources">[1]Transaction!$E$46:$E$51</definedName>
    <definedName name="Trans_DepositTable">[1]Transaction!$D$46:$E$51</definedName>
    <definedName name="Transaction_ApplicantAges">[1]Transaction!$AM$7:$AM$10</definedName>
    <definedName name="Underwriter">'Portfolio Review'!$F$49</definedName>
    <definedName name="UniqueIdentifierArray">'Portfolio Schedule'!$AC$1:$AC$515</definedName>
    <definedName name="ValueArray">'Portfolio Review'!$L$11:$L$509</definedName>
    <definedName name="WithinCriteriaArray">'Portfolio Review'!$BL$11:$BL$509</definedName>
    <definedName name="WithTMWArray">'Portfolio Review'!$D$11:$D$509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10" i="2" l="1" a="1"/>
  <c r="Y10" i="2" s="1"/>
  <c r="Y11" i="2" a="1"/>
  <c r="Y11" i="2" s="1"/>
  <c r="Y12" i="2" a="1"/>
  <c r="Y12" i="2"/>
  <c r="Y13" i="2" a="1"/>
  <c r="Y13" i="2" s="1"/>
  <c r="Y14" i="2" a="1"/>
  <c r="Y14" i="2" s="1"/>
  <c r="Y15" i="2" a="1"/>
  <c r="Y15" i="2" s="1"/>
  <c r="Y16" i="2" a="1"/>
  <c r="Y16" i="2"/>
  <c r="Y17" i="2" a="1"/>
  <c r="Y17" i="2"/>
  <c r="Y18" i="2" a="1"/>
  <c r="Y18" i="2"/>
  <c r="Y19" i="2" a="1"/>
  <c r="Y19" i="2"/>
  <c r="Y20" i="2" a="1"/>
  <c r="Y20" i="2"/>
  <c r="Y21" i="2" a="1"/>
  <c r="Y21" i="2" s="1"/>
  <c r="Y22" i="2" a="1"/>
  <c r="Y22" i="2"/>
  <c r="Y23" i="2" a="1"/>
  <c r="Y23" i="2"/>
  <c r="Y9" i="2" a="1"/>
  <c r="Y9" i="2" s="1"/>
  <c r="AA11" i="2"/>
  <c r="AB11" i="2"/>
  <c r="AB12" i="2"/>
  <c r="AB13" i="2"/>
  <c r="AB14" i="2"/>
  <c r="AA15" i="2"/>
  <c r="AB15" i="2"/>
  <c r="AA16" i="2"/>
  <c r="AB16" i="2"/>
  <c r="AA17" i="2"/>
  <c r="AB17" i="2"/>
  <c r="AA18" i="2"/>
  <c r="AB18" i="2"/>
  <c r="AA19" i="2"/>
  <c r="AB19" i="2"/>
  <c r="AA20" i="2"/>
  <c r="AB20" i="2"/>
  <c r="AA21" i="2"/>
  <c r="AB21" i="2"/>
  <c r="AA22" i="2"/>
  <c r="AB22" i="2"/>
  <c r="AA23" i="2"/>
  <c r="AB23" i="2"/>
  <c r="AA10" i="2"/>
  <c r="AB10" i="2"/>
  <c r="AB9" i="2"/>
  <c r="AA9" i="2"/>
  <c r="AC9" i="2" s="1"/>
  <c r="AC16" i="2"/>
  <c r="AC17" i="2"/>
  <c r="AC18" i="2"/>
  <c r="AC19" i="2"/>
  <c r="AC20" i="2"/>
  <c r="AC21" i="2"/>
  <c r="AC22" i="2"/>
  <c r="AC23" i="2"/>
  <c r="AA12" i="2" l="1"/>
  <c r="AA13" i="2"/>
  <c r="AC13" i="2" s="1"/>
  <c r="AC12" i="2"/>
  <c r="AC10" i="2"/>
  <c r="AC11" i="2"/>
  <c r="Z47" i="3"/>
  <c r="B47" i="3"/>
  <c r="Z46" i="3"/>
  <c r="B46" i="3"/>
  <c r="Z44" i="3"/>
  <c r="B44" i="3"/>
  <c r="Z43" i="3"/>
  <c r="B43" i="3"/>
  <c r="Z42" i="3"/>
  <c r="B42" i="3"/>
  <c r="Z41" i="3"/>
  <c r="B41" i="3"/>
  <c r="Z40" i="3"/>
  <c r="B40" i="3"/>
  <c r="Z39" i="3"/>
  <c r="B39" i="3"/>
  <c r="Z38" i="3"/>
  <c r="B38" i="3"/>
  <c r="Z37" i="3"/>
  <c r="B37" i="3"/>
  <c r="Z36" i="3"/>
  <c r="B36" i="3"/>
  <c r="Z35" i="3"/>
  <c r="B35" i="3"/>
  <c r="Z34" i="3"/>
  <c r="B34" i="3"/>
  <c r="Z33" i="3"/>
  <c r="B33" i="3"/>
  <c r="M1" i="5"/>
  <c r="Z29" i="3"/>
  <c r="B29" i="3"/>
  <c r="Z28" i="3"/>
  <c r="B28" i="3"/>
  <c r="Z27" i="3"/>
  <c r="B27" i="3"/>
  <c r="Z26" i="3"/>
  <c r="B26" i="3"/>
  <c r="Z25" i="3"/>
  <c r="B25" i="3"/>
  <c r="Z24" i="3"/>
  <c r="B24" i="3"/>
  <c r="Z23" i="3"/>
  <c r="B23" i="3"/>
  <c r="Z22" i="3"/>
  <c r="B22" i="3"/>
  <c r="Z21" i="3"/>
  <c r="B21" i="3"/>
  <c r="Z20" i="3"/>
  <c r="B20" i="3"/>
  <c r="Z19" i="3"/>
  <c r="B19" i="3"/>
  <c r="Z18" i="3"/>
  <c r="B18" i="3"/>
  <c r="Z17" i="3"/>
  <c r="B17" i="3"/>
  <c r="Z16" i="3"/>
  <c r="B16" i="3"/>
  <c r="Z15" i="3"/>
  <c r="B15" i="3"/>
  <c r="BS11" i="3"/>
  <c r="R11" i="3"/>
  <c r="P11" i="3"/>
  <c r="AE9" i="3"/>
  <c r="AC9" i="3"/>
  <c r="BB8" i="3"/>
  <c r="BA8" i="3"/>
  <c r="AY8" i="3"/>
  <c r="AX8" i="3"/>
  <c r="AE8" i="3"/>
  <c r="M7" i="3"/>
  <c r="R24" i="2"/>
  <c r="AA14" i="2" l="1"/>
  <c r="AC14" i="2" s="1"/>
  <c r="AC15" i="2"/>
  <c r="M24" i="2"/>
  <c r="O24" i="2"/>
  <c r="P24" i="2"/>
  <c r="G37" i="3" l="1"/>
  <c r="K37" i="3"/>
  <c r="M33" i="3"/>
  <c r="L42" i="3"/>
  <c r="L33" i="3"/>
  <c r="F35" i="3"/>
  <c r="C35" i="3" s="1"/>
  <c r="K44" i="3"/>
  <c r="K40" i="3"/>
  <c r="L46" i="3"/>
  <c r="G41" i="3"/>
  <c r="K33" i="3"/>
  <c r="G43" i="3"/>
  <c r="G34" i="3"/>
  <c r="F37" i="3"/>
  <c r="C37" i="3" s="1"/>
  <c r="K41" i="3"/>
  <c r="G35" i="3"/>
  <c r="G40" i="3"/>
  <c r="F47" i="3"/>
  <c r="C47" i="3" s="1"/>
  <c r="G46" i="3"/>
  <c r="G47" i="3"/>
  <c r="M46" i="3"/>
  <c r="M35" i="3"/>
  <c r="L41" i="3"/>
  <c r="M36" i="3"/>
  <c r="F42" i="3"/>
  <c r="C42" i="3" s="1"/>
  <c r="L38" i="3"/>
  <c r="L39" i="3"/>
  <c r="K38" i="3"/>
  <c r="G39" i="3"/>
  <c r="M47" i="3"/>
  <c r="K34" i="3"/>
  <c r="F44" i="3"/>
  <c r="C44" i="3" s="1"/>
  <c r="F41" i="3"/>
  <c r="C41" i="3" s="1"/>
  <c r="L36" i="3"/>
  <c r="M41" i="3"/>
  <c r="L37" i="3"/>
  <c r="K42" i="3"/>
  <c r="M40" i="3"/>
  <c r="K46" i="3"/>
  <c r="F43" i="3"/>
  <c r="C43" i="3" s="1"/>
  <c r="L43" i="3"/>
  <c r="M34" i="3"/>
  <c r="F40" i="3"/>
  <c r="C40" i="3" s="1"/>
  <c r="G42" i="3"/>
  <c r="K36" i="3"/>
  <c r="L44" i="3"/>
  <c r="K47" i="3"/>
  <c r="L47" i="3"/>
  <c r="M37" i="3"/>
  <c r="F33" i="3"/>
  <c r="C33" i="3" s="1"/>
  <c r="G33" i="3"/>
  <c r="G36" i="3"/>
  <c r="F46" i="3"/>
  <c r="C46" i="3" s="1"/>
  <c r="F36" i="3"/>
  <c r="C36" i="3" s="1"/>
  <c r="L35" i="3"/>
  <c r="K39" i="3"/>
  <c r="K43" i="3"/>
  <c r="L34" i="3"/>
  <c r="G38" i="3"/>
  <c r="L40" i="3"/>
  <c r="M39" i="3"/>
  <c r="F34" i="3"/>
  <c r="C34" i="3" s="1"/>
  <c r="M43" i="3"/>
  <c r="G44" i="3"/>
  <c r="F39" i="3"/>
  <c r="C39" i="3" s="1"/>
  <c r="K35" i="3"/>
  <c r="F38" i="3"/>
  <c r="C38" i="3" s="1"/>
  <c r="M42" i="3"/>
  <c r="M38" i="3"/>
  <c r="M44" i="3"/>
  <c r="L26" i="3"/>
  <c r="M21" i="3"/>
  <c r="G15" i="3"/>
  <c r="G18" i="3"/>
  <c r="M26" i="3"/>
  <c r="G19" i="3"/>
  <c r="F17" i="3"/>
  <c r="C17" i="3" s="1"/>
  <c r="M29" i="3"/>
  <c r="K20" i="3"/>
  <c r="M27" i="3"/>
  <c r="G17" i="3"/>
  <c r="F24" i="3"/>
  <c r="C24" i="3" s="1"/>
  <c r="M20" i="3"/>
  <c r="L16" i="3"/>
  <c r="K19" i="3"/>
  <c r="G27" i="3"/>
  <c r="F23" i="3"/>
  <c r="C23" i="3" s="1"/>
  <c r="F22" i="3"/>
  <c r="C22" i="3" s="1"/>
  <c r="K24" i="3"/>
  <c r="G25" i="3"/>
  <c r="M17" i="3"/>
  <c r="K15" i="3"/>
  <c r="G22" i="3"/>
  <c r="K21" i="3"/>
  <c r="M18" i="3"/>
  <c r="L29" i="3"/>
  <c r="M28" i="3"/>
  <c r="L25" i="3"/>
  <c r="G21" i="3"/>
  <c r="G26" i="3"/>
  <c r="M19" i="3"/>
  <c r="M23" i="3"/>
  <c r="L19" i="3"/>
  <c r="M25" i="3"/>
  <c r="K28" i="3"/>
  <c r="G20" i="3"/>
  <c r="F26" i="3"/>
  <c r="C26" i="3" s="1"/>
  <c r="F20" i="3"/>
  <c r="C20" i="3" s="1"/>
  <c r="L21" i="3"/>
  <c r="F21" i="3"/>
  <c r="C21" i="3" s="1"/>
  <c r="G28" i="3"/>
  <c r="K27" i="3"/>
  <c r="L22" i="3"/>
  <c r="F28" i="3"/>
  <c r="C28" i="3" s="1"/>
  <c r="G24" i="3"/>
  <c r="L28" i="3"/>
  <c r="G16" i="3"/>
  <c r="K22" i="3"/>
  <c r="F19" i="3"/>
  <c r="C19" i="3" s="1"/>
  <c r="F25" i="3"/>
  <c r="C25" i="3" s="1"/>
  <c r="L27" i="3"/>
  <c r="K16" i="3"/>
  <c r="K26" i="3"/>
  <c r="M22" i="3"/>
  <c r="M16" i="3"/>
  <c r="G23" i="3"/>
  <c r="G29" i="3"/>
  <c r="L24" i="3"/>
  <c r="K25" i="3"/>
  <c r="M15" i="3"/>
  <c r="F29" i="3"/>
  <c r="C29" i="3" s="1"/>
  <c r="K18" i="3"/>
  <c r="M24" i="3"/>
  <c r="F18" i="3"/>
  <c r="C18" i="3" s="1"/>
  <c r="L18" i="3"/>
  <c r="K17" i="3"/>
  <c r="L20" i="3"/>
  <c r="L23" i="3"/>
  <c r="K23" i="3"/>
  <c r="L17" i="3"/>
  <c r="F27" i="3"/>
  <c r="C27" i="3" s="1"/>
  <c r="K29" i="3"/>
  <c r="L15" i="3"/>
  <c r="F16" i="3"/>
  <c r="C16" i="3" s="1"/>
  <c r="F15" i="3"/>
  <c r="C15" i="3" s="1"/>
  <c r="N40" i="3" l="1"/>
  <c r="N33" i="3"/>
  <c r="BG37" i="3"/>
  <c r="AT37" i="3"/>
  <c r="AE37" i="3"/>
  <c r="BD37" i="3" s="1"/>
  <c r="BN37" i="3"/>
  <c r="BP37" i="3"/>
  <c r="BQ37" i="3" s="1"/>
  <c r="X37" i="3" s="1"/>
  <c r="AH37" i="3" a="1"/>
  <c r="AH37" i="3" s="1"/>
  <c r="BB37" i="3"/>
  <c r="AX37" i="3"/>
  <c r="AL37" i="3" a="1"/>
  <c r="AL37" i="3" s="1"/>
  <c r="AP37" i="3"/>
  <c r="AR37" i="3"/>
  <c r="AG37" i="3" a="1"/>
  <c r="AG37" i="3" s="1"/>
  <c r="AI37" i="3"/>
  <c r="BK37" i="3"/>
  <c r="BI37" i="3"/>
  <c r="BJ37" i="3" s="1"/>
  <c r="P37" i="3"/>
  <c r="AN37" i="3"/>
  <c r="AO37" i="3"/>
  <c r="AS37" i="3"/>
  <c r="AV37" i="3"/>
  <c r="AJ37" i="3"/>
  <c r="BO37" i="3"/>
  <c r="AK37" i="3" a="1"/>
  <c r="AK37" i="3" s="1"/>
  <c r="AU37" i="3"/>
  <c r="BL37" i="3"/>
  <c r="AD37" i="3"/>
  <c r="AC37" i="3"/>
  <c r="BE37" i="3" s="1"/>
  <c r="BA37" i="3"/>
  <c r="BH37" i="3"/>
  <c r="AY37" i="3"/>
  <c r="D37" i="3"/>
  <c r="BF37" i="3"/>
  <c r="AA33" i="3"/>
  <c r="BA46" i="3"/>
  <c r="AT46" i="3"/>
  <c r="AP46" i="3"/>
  <c r="BN46" i="3"/>
  <c r="AI46" i="3"/>
  <c r="BI46" i="3"/>
  <c r="BJ46" i="3" s="1"/>
  <c r="AY46" i="3"/>
  <c r="AE46" i="3"/>
  <c r="BD46" i="3" s="1"/>
  <c r="BB46" i="3"/>
  <c r="AV46" i="3"/>
  <c r="BO46" i="3"/>
  <c r="BK46" i="3"/>
  <c r="BG46" i="3"/>
  <c r="BP46" i="3"/>
  <c r="BQ46" i="3" s="1"/>
  <c r="X46" i="3" s="1"/>
  <c r="AD46" i="3"/>
  <c r="AH46" i="3" a="1"/>
  <c r="AH46" i="3" s="1"/>
  <c r="AK46" i="3" a="1"/>
  <c r="AK46" i="3" s="1"/>
  <c r="P46" i="3"/>
  <c r="AN46" i="3"/>
  <c r="AJ46" i="3"/>
  <c r="BL46" i="3"/>
  <c r="BF46" i="3"/>
  <c r="AG46" i="3" a="1"/>
  <c r="AG46" i="3" s="1"/>
  <c r="BH46" i="3"/>
  <c r="AC46" i="3"/>
  <c r="BE46" i="3" s="1"/>
  <c r="AX46" i="3"/>
  <c r="AR46" i="3"/>
  <c r="AL46" i="3" a="1"/>
  <c r="AL46" i="3" s="1"/>
  <c r="D46" i="3"/>
  <c r="AU46" i="3"/>
  <c r="AS46" i="3"/>
  <c r="AO46" i="3"/>
  <c r="N36" i="3"/>
  <c r="AA36" i="3"/>
  <c r="N35" i="3"/>
  <c r="AA35" i="3"/>
  <c r="AA42" i="3"/>
  <c r="N42" i="3"/>
  <c r="AA43" i="3"/>
  <c r="N43" i="3"/>
  <c r="AK36" i="3" a="1"/>
  <c r="AK36" i="3" s="1"/>
  <c r="AN36" i="3" s="1"/>
  <c r="AD36" i="3"/>
  <c r="AE36" i="3" s="1"/>
  <c r="BD36" i="3" s="1"/>
  <c r="AC36" i="3"/>
  <c r="BE36" i="3" s="1"/>
  <c r="BN36" i="3"/>
  <c r="AL36" i="3" a="1"/>
  <c r="AL36" i="3" s="1"/>
  <c r="AG36" i="3" a="1"/>
  <c r="AG36" i="3" s="1"/>
  <c r="AO36" i="3" s="1"/>
  <c r="AJ36" i="3"/>
  <c r="D36" i="3"/>
  <c r="AI36" i="3"/>
  <c r="AP36" i="3" s="1"/>
  <c r="P36" i="3"/>
  <c r="AH36" i="3" a="1"/>
  <c r="AH36" i="3" s="1"/>
  <c r="BK43" i="3"/>
  <c r="BL43" i="3"/>
  <c r="AC43" i="3"/>
  <c r="BE43" i="3" s="1"/>
  <c r="AH43" i="3" a="1"/>
  <c r="AH43" i="3" s="1"/>
  <c r="AJ43" i="3"/>
  <c r="AE43" i="3"/>
  <c r="BD43" i="3" s="1"/>
  <c r="P43" i="3"/>
  <c r="BN43" i="3"/>
  <c r="AL43" i="3" a="1"/>
  <c r="AL43" i="3" s="1"/>
  <c r="D43" i="3"/>
  <c r="AD43" i="3"/>
  <c r="AU43" i="3"/>
  <c r="AS43" i="3"/>
  <c r="BG43" i="3"/>
  <c r="AN43" i="3"/>
  <c r="BI43" i="3"/>
  <c r="BJ43" i="3" s="1"/>
  <c r="AI43" i="3"/>
  <c r="BP43" i="3"/>
  <c r="BQ43" i="3" s="1"/>
  <c r="X43" i="3" s="1"/>
  <c r="AX43" i="3"/>
  <c r="AP43" i="3"/>
  <c r="AT43" i="3"/>
  <c r="BH43" i="3"/>
  <c r="BA43" i="3"/>
  <c r="AG43" i="3" a="1"/>
  <c r="AG43" i="3" s="1"/>
  <c r="AR43" i="3"/>
  <c r="BO43" i="3"/>
  <c r="AO43" i="3"/>
  <c r="AK43" i="3" a="1"/>
  <c r="AK43" i="3" s="1"/>
  <c r="BF43" i="3"/>
  <c r="AY43" i="3"/>
  <c r="BB43" i="3"/>
  <c r="AV43" i="3"/>
  <c r="BH44" i="3"/>
  <c r="BF44" i="3"/>
  <c r="BB44" i="3"/>
  <c r="D44" i="3"/>
  <c r="AK44" i="3" a="1"/>
  <c r="AK44" i="3" s="1"/>
  <c r="AE44" i="3"/>
  <c r="BD44" i="3" s="1"/>
  <c r="AC44" i="3"/>
  <c r="BE44" i="3" s="1"/>
  <c r="BA44" i="3"/>
  <c r="BL44" i="3"/>
  <c r="BG44" i="3"/>
  <c r="AI44" i="3"/>
  <c r="AS44" i="3"/>
  <c r="AU44" i="3"/>
  <c r="BN44" i="3"/>
  <c r="BI44" i="3"/>
  <c r="BJ44" i="3" s="1"/>
  <c r="AD44" i="3"/>
  <c r="AP44" i="3"/>
  <c r="AG44" i="3" a="1"/>
  <c r="AG44" i="3" s="1"/>
  <c r="AT44" i="3"/>
  <c r="AO44" i="3"/>
  <c r="P44" i="3"/>
  <c r="AJ44" i="3"/>
  <c r="AH44" i="3" a="1"/>
  <c r="AH44" i="3" s="1"/>
  <c r="AY44" i="3"/>
  <c r="AX44" i="3"/>
  <c r="AN44" i="3"/>
  <c r="AV44" i="3"/>
  <c r="AL44" i="3" a="1"/>
  <c r="AL44" i="3" s="1"/>
  <c r="BP44" i="3"/>
  <c r="BQ44" i="3" s="1"/>
  <c r="X44" i="3" s="1"/>
  <c r="AR44" i="3"/>
  <c r="BK44" i="3"/>
  <c r="BO44" i="3"/>
  <c r="AA37" i="3"/>
  <c r="N37" i="3"/>
  <c r="AY41" i="3"/>
  <c r="AR41" i="3"/>
  <c r="AO41" i="3"/>
  <c r="AJ41" i="3"/>
  <c r="BN41" i="3"/>
  <c r="AC41" i="3"/>
  <c r="BE41" i="3" s="1"/>
  <c r="BI41" i="3"/>
  <c r="BJ41" i="3" s="1"/>
  <c r="AG41" i="3" a="1"/>
  <c r="AG41" i="3" s="1"/>
  <c r="BG41" i="3"/>
  <c r="AX41" i="3"/>
  <c r="BA41" i="3"/>
  <c r="AS41" i="3"/>
  <c r="AL41" i="3" a="1"/>
  <c r="AL41" i="3" s="1"/>
  <c r="BP41" i="3"/>
  <c r="BQ41" i="3" s="1"/>
  <c r="X41" i="3" s="1"/>
  <c r="BH41" i="3"/>
  <c r="BL41" i="3"/>
  <c r="AU41" i="3"/>
  <c r="BK41" i="3"/>
  <c r="BO41" i="3"/>
  <c r="BB41" i="3"/>
  <c r="D41" i="3"/>
  <c r="AV41" i="3"/>
  <c r="AH41" i="3" a="1"/>
  <c r="AH41" i="3" s="1"/>
  <c r="AE41" i="3"/>
  <c r="BD41" i="3" s="1"/>
  <c r="AN41" i="3"/>
  <c r="AT41" i="3"/>
  <c r="BF41" i="3"/>
  <c r="AI41" i="3"/>
  <c r="AD41" i="3"/>
  <c r="AP41" i="3"/>
  <c r="P41" i="3"/>
  <c r="AK41" i="3" a="1"/>
  <c r="AK41" i="3" s="1"/>
  <c r="AS38" i="3"/>
  <c r="BI38" i="3"/>
  <c r="BJ38" i="3" s="1"/>
  <c r="AT38" i="3"/>
  <c r="AX38" i="3"/>
  <c r="AK38" i="3" a="1"/>
  <c r="AK38" i="3" s="1"/>
  <c r="AY38" i="3"/>
  <c r="AE38" i="3"/>
  <c r="BD38" i="3" s="1"/>
  <c r="AU38" i="3"/>
  <c r="AD38" i="3"/>
  <c r="AO38" i="3"/>
  <c r="BF38" i="3"/>
  <c r="AP38" i="3"/>
  <c r="BK38" i="3"/>
  <c r="BP38" i="3"/>
  <c r="BQ38" i="3" s="1"/>
  <c r="X38" i="3" s="1"/>
  <c r="AH38" i="3" a="1"/>
  <c r="AH38" i="3" s="1"/>
  <c r="BO38" i="3"/>
  <c r="BB38" i="3"/>
  <c r="BG38" i="3"/>
  <c r="BH38" i="3"/>
  <c r="AN38" i="3"/>
  <c r="AJ38" i="3"/>
  <c r="D38" i="3"/>
  <c r="BA38" i="3"/>
  <c r="AL38" i="3" a="1"/>
  <c r="AL38" i="3" s="1"/>
  <c r="P38" i="3"/>
  <c r="BL38" i="3"/>
  <c r="AR38" i="3"/>
  <c r="AV38" i="3"/>
  <c r="BN38" i="3"/>
  <c r="AC38" i="3"/>
  <c r="BE38" i="3" s="1"/>
  <c r="AI38" i="3"/>
  <c r="AG38" i="3" a="1"/>
  <c r="AG38" i="3" s="1"/>
  <c r="AD34" i="3"/>
  <c r="AE34" i="3" s="1"/>
  <c r="BD34" i="3" s="1"/>
  <c r="AK34" i="3" a="1"/>
  <c r="AK34" i="3" s="1"/>
  <c r="AN34" i="3" s="1"/>
  <c r="AJ34" i="3"/>
  <c r="BN34" i="3"/>
  <c r="AH34" i="3" a="1"/>
  <c r="AH34" i="3" s="1"/>
  <c r="P34" i="3"/>
  <c r="AL34" i="3" a="1"/>
  <c r="AL34" i="3" s="1"/>
  <c r="D34" i="3"/>
  <c r="AG34" i="3" a="1"/>
  <c r="AG34" i="3" s="1"/>
  <c r="AO34" i="3" s="1"/>
  <c r="AI34" i="3"/>
  <c r="AP34" i="3" s="1"/>
  <c r="AC34" i="3"/>
  <c r="BE34" i="3" s="1"/>
  <c r="AA46" i="3"/>
  <c r="N46" i="3"/>
  <c r="N39" i="3"/>
  <c r="AA39" i="3"/>
  <c r="AP40" i="3"/>
  <c r="D40" i="3"/>
  <c r="BK40" i="3"/>
  <c r="BF40" i="3"/>
  <c r="AI40" i="3"/>
  <c r="BN40" i="3"/>
  <c r="BB40" i="3"/>
  <c r="AX40" i="3"/>
  <c r="BI40" i="3"/>
  <c r="BJ40" i="3" s="1"/>
  <c r="AT40" i="3"/>
  <c r="AR40" i="3"/>
  <c r="P40" i="3"/>
  <c r="AY40" i="3"/>
  <c r="AE40" i="3"/>
  <c r="BD40" i="3" s="1"/>
  <c r="AJ40" i="3"/>
  <c r="AU40" i="3"/>
  <c r="AO40" i="3"/>
  <c r="BL40" i="3"/>
  <c r="AC40" i="3"/>
  <c r="BE40" i="3" s="1"/>
  <c r="AN40" i="3"/>
  <c r="BG40" i="3"/>
  <c r="AK40" i="3" a="1"/>
  <c r="AK40" i="3" s="1"/>
  <c r="AG40" i="3" a="1"/>
  <c r="AG40" i="3" s="1"/>
  <c r="AH40" i="3" a="1"/>
  <c r="AH40" i="3" s="1"/>
  <c r="AL40" i="3" a="1"/>
  <c r="AL40" i="3" s="1"/>
  <c r="BA40" i="3"/>
  <c r="BP40" i="3"/>
  <c r="BQ40" i="3" s="1"/>
  <c r="X40" i="3" s="1"/>
  <c r="AS40" i="3"/>
  <c r="AD40" i="3"/>
  <c r="AV40" i="3"/>
  <c r="BH40" i="3"/>
  <c r="BO40" i="3"/>
  <c r="N47" i="3"/>
  <c r="AA47" i="3"/>
  <c r="AS47" i="3"/>
  <c r="AD47" i="3"/>
  <c r="AT47" i="3"/>
  <c r="BK47" i="3"/>
  <c r="AH47" i="3" a="1"/>
  <c r="AH47" i="3" s="1"/>
  <c r="BG47" i="3"/>
  <c r="P47" i="3"/>
  <c r="BB47" i="3"/>
  <c r="BA47" i="3"/>
  <c r="AV47" i="3"/>
  <c r="BN47" i="3"/>
  <c r="AJ47" i="3"/>
  <c r="AI47" i="3"/>
  <c r="BO47" i="3"/>
  <c r="BL47" i="3"/>
  <c r="AC47" i="3"/>
  <c r="BE47" i="3" s="1"/>
  <c r="BI47" i="3"/>
  <c r="BJ47" i="3" s="1"/>
  <c r="BF47" i="3"/>
  <c r="BH47" i="3"/>
  <c r="AU47" i="3"/>
  <c r="AX47" i="3"/>
  <c r="AL47" i="3" a="1"/>
  <c r="AL47" i="3" s="1"/>
  <c r="AN47" i="3"/>
  <c r="AG47" i="3" a="1"/>
  <c r="AG47" i="3" s="1"/>
  <c r="AP47" i="3"/>
  <c r="AE47" i="3"/>
  <c r="BD47" i="3" s="1"/>
  <c r="AY47" i="3"/>
  <c r="BP47" i="3"/>
  <c r="BQ47" i="3" s="1"/>
  <c r="X47" i="3" s="1"/>
  <c r="AO47" i="3"/>
  <c r="D47" i="3"/>
  <c r="AR47" i="3"/>
  <c r="AK47" i="3" a="1"/>
  <c r="AK47" i="3" s="1"/>
  <c r="AA34" i="3"/>
  <c r="AA44" i="3"/>
  <c r="N44" i="3"/>
  <c r="BK39" i="3"/>
  <c r="AC39" i="3"/>
  <c r="BE39" i="3" s="1"/>
  <c r="AR39" i="3"/>
  <c r="AT39" i="3"/>
  <c r="BG39" i="3"/>
  <c r="P39" i="3"/>
  <c r="BI39" i="3"/>
  <c r="BJ39" i="3" s="1"/>
  <c r="BN39" i="3"/>
  <c r="AV39" i="3"/>
  <c r="BL39" i="3"/>
  <c r="AY39" i="3"/>
  <c r="BB39" i="3"/>
  <c r="D39" i="3"/>
  <c r="AS39" i="3"/>
  <c r="AO39" i="3"/>
  <c r="BF39" i="3"/>
  <c r="AD39" i="3"/>
  <c r="AX39" i="3"/>
  <c r="AJ39" i="3"/>
  <c r="AU39" i="3"/>
  <c r="BA39" i="3"/>
  <c r="AN39" i="3"/>
  <c r="BP39" i="3"/>
  <c r="BQ39" i="3" s="1"/>
  <c r="X39" i="3" s="1"/>
  <c r="AH39" i="3" a="1"/>
  <c r="AH39" i="3" s="1"/>
  <c r="BO39" i="3"/>
  <c r="AE39" i="3"/>
  <c r="BD39" i="3" s="1"/>
  <c r="AL39" i="3" a="1"/>
  <c r="AL39" i="3" s="1"/>
  <c r="AG39" i="3" a="1"/>
  <c r="AG39" i="3" s="1"/>
  <c r="AK39" i="3" a="1"/>
  <c r="AK39" i="3" s="1"/>
  <c r="AI39" i="3"/>
  <c r="BH39" i="3"/>
  <c r="AP39" i="3"/>
  <c r="P33" i="3"/>
  <c r="AG33" i="3" a="1"/>
  <c r="AG33" i="3" s="1"/>
  <c r="AO33" i="3" s="1"/>
  <c r="AL33" i="3" a="1"/>
  <c r="AL33" i="3" s="1"/>
  <c r="AH33" i="3" a="1"/>
  <c r="AH33" i="3" s="1"/>
  <c r="AI33" i="3"/>
  <c r="AP33" i="3" s="1"/>
  <c r="BN33" i="3"/>
  <c r="AD33" i="3"/>
  <c r="AE33" i="3" s="1"/>
  <c r="BD33" i="3" s="1"/>
  <c r="AC33" i="3"/>
  <c r="BE33" i="3" s="1"/>
  <c r="AJ33" i="3"/>
  <c r="D33" i="3"/>
  <c r="AK33" i="3" a="1"/>
  <c r="AK33" i="3" s="1"/>
  <c r="AN33" i="3" s="1"/>
  <c r="AA38" i="3"/>
  <c r="N38" i="3"/>
  <c r="AA40" i="3"/>
  <c r="N34" i="3"/>
  <c r="N41" i="3"/>
  <c r="AA41" i="3"/>
  <c r="BO42" i="3"/>
  <c r="P42" i="3"/>
  <c r="D42" i="3"/>
  <c r="BK42" i="3"/>
  <c r="BI42" i="3"/>
  <c r="BJ42" i="3" s="1"/>
  <c r="BH42" i="3"/>
  <c r="BN42" i="3"/>
  <c r="BB42" i="3"/>
  <c r="AY42" i="3"/>
  <c r="AX42" i="3"/>
  <c r="AT42" i="3"/>
  <c r="AR42" i="3"/>
  <c r="AO42" i="3"/>
  <c r="AH42" i="3" a="1"/>
  <c r="AH42" i="3" s="1"/>
  <c r="BL42" i="3"/>
  <c r="AC42" i="3"/>
  <c r="BE42" i="3" s="1"/>
  <c r="AU42" i="3"/>
  <c r="BP42" i="3"/>
  <c r="BQ42" i="3" s="1"/>
  <c r="X42" i="3" s="1"/>
  <c r="AS42" i="3"/>
  <c r="BA42" i="3"/>
  <c r="AL42" i="3" a="1"/>
  <c r="AL42" i="3" s="1"/>
  <c r="BF42" i="3"/>
  <c r="AJ42" i="3"/>
  <c r="AP42" i="3"/>
  <c r="AN42" i="3"/>
  <c r="AI42" i="3"/>
  <c r="BG42" i="3"/>
  <c r="AG42" i="3" a="1"/>
  <c r="AG42" i="3" s="1"/>
  <c r="AV42" i="3"/>
  <c r="AK42" i="3" a="1"/>
  <c r="AK42" i="3" s="1"/>
  <c r="AD42" i="3"/>
  <c r="AE42" i="3"/>
  <c r="BD42" i="3" s="1"/>
  <c r="D35" i="3"/>
  <c r="AJ35" i="3"/>
  <c r="AL35" i="3" a="1"/>
  <c r="AL35" i="3" s="1"/>
  <c r="AG35" i="3" a="1"/>
  <c r="AG35" i="3" s="1"/>
  <c r="AO35" i="3" s="1"/>
  <c r="AK35" i="3" a="1"/>
  <c r="AK35" i="3" s="1"/>
  <c r="AN35" i="3" s="1"/>
  <c r="AD35" i="3"/>
  <c r="AE35" i="3" s="1"/>
  <c r="BD35" i="3" s="1"/>
  <c r="P35" i="3"/>
  <c r="AI35" i="3"/>
  <c r="AP35" i="3" s="1"/>
  <c r="BN35" i="3"/>
  <c r="AC35" i="3"/>
  <c r="BE35" i="3" s="1"/>
  <c r="AH35" i="3" a="1"/>
  <c r="AH35" i="3" s="1"/>
  <c r="AA27" i="3"/>
  <c r="AA21" i="3"/>
  <c r="N21" i="3"/>
  <c r="AA29" i="3"/>
  <c r="N29" i="3"/>
  <c r="N19" i="3"/>
  <c r="AA19" i="3"/>
  <c r="N20" i="3"/>
  <c r="AA20" i="3"/>
  <c r="AD15" i="3"/>
  <c r="AE15" i="3" s="1"/>
  <c r="BD15" i="3" s="1"/>
  <c r="AC15" i="3"/>
  <c r="BE15" i="3" s="1"/>
  <c r="AL15" i="3" a="1"/>
  <c r="AL15" i="3" s="1"/>
  <c r="AI15" i="3"/>
  <c r="AP15" i="3" s="1"/>
  <c r="BN15" i="3"/>
  <c r="AJ15" i="3" a="1"/>
  <c r="AJ15" i="3" s="1"/>
  <c r="AH15" i="3" a="1"/>
  <c r="AH15" i="3" s="1"/>
  <c r="AG15" i="3" a="1"/>
  <c r="AG15" i="3" s="1"/>
  <c r="AO15" i="3" s="1"/>
  <c r="AT15" i="3" s="1"/>
  <c r="AK15" i="3" a="1"/>
  <c r="AK15" i="3" s="1"/>
  <c r="AN15" i="3" s="1"/>
  <c r="D15" i="3"/>
  <c r="D18" i="3"/>
  <c r="BN18" i="3"/>
  <c r="AL18" i="3" a="1"/>
  <c r="AL18" i="3" s="1"/>
  <c r="AK18" i="3" a="1"/>
  <c r="AK18" i="3" s="1"/>
  <c r="AN18" i="3" s="1"/>
  <c r="AG18" i="3" a="1"/>
  <c r="AG18" i="3" s="1"/>
  <c r="AO18" i="3" s="1"/>
  <c r="AU18" i="3" s="1"/>
  <c r="AJ18" i="3" a="1"/>
  <c r="AJ18" i="3" s="1"/>
  <c r="AC18" i="3"/>
  <c r="BE18" i="3" s="1"/>
  <c r="AD18" i="3"/>
  <c r="AE18" i="3" s="1"/>
  <c r="BD18" i="3" s="1"/>
  <c r="BI18" i="3" s="1"/>
  <c r="AH18" i="3" a="1"/>
  <c r="AH18" i="3" s="1"/>
  <c r="AI18" i="3"/>
  <c r="AP18" i="3" s="1"/>
  <c r="BN26" i="3"/>
  <c r="D26" i="3"/>
  <c r="AD26" i="3"/>
  <c r="AH26" i="3" a="1"/>
  <c r="AH26" i="3" s="1"/>
  <c r="AO26" i="3"/>
  <c r="AS26" i="3" s="1"/>
  <c r="AG26" i="3" a="1"/>
  <c r="AG26" i="3" s="1"/>
  <c r="AI26" i="3"/>
  <c r="AP26" i="3" s="1"/>
  <c r="BB26" i="3" s="1"/>
  <c r="AL26" i="3" a="1"/>
  <c r="AL26" i="3" s="1"/>
  <c r="AC26" i="3"/>
  <c r="BE26" i="3" s="1"/>
  <c r="AK26" i="3" a="1"/>
  <c r="AK26" i="3" s="1"/>
  <c r="AN26" i="3" s="1"/>
  <c r="AE26" i="3"/>
  <c r="BD26" i="3" s="1"/>
  <c r="AJ26" i="3" a="1"/>
  <c r="AJ26" i="3" s="1"/>
  <c r="AY26" i="3"/>
  <c r="BG26" i="3" s="1"/>
  <c r="AT26" i="3"/>
  <c r="AR26" i="3"/>
  <c r="BA26" i="3"/>
  <c r="BH26" i="3" s="1"/>
  <c r="AU26" i="3"/>
  <c r="AX26" i="3"/>
  <c r="AV26" i="3"/>
  <c r="BF26" i="3"/>
  <c r="BI26" i="3"/>
  <c r="BJ26" i="3" s="1"/>
  <c r="BL26" i="3" s="1"/>
  <c r="P26" i="3" s="1"/>
  <c r="BO26" i="3"/>
  <c r="BP26" i="3" s="1"/>
  <c r="BQ26" i="3" s="1"/>
  <c r="X26" i="3" s="1"/>
  <c r="BK26" i="3"/>
  <c r="N16" i="3"/>
  <c r="AA16" i="3"/>
  <c r="BN20" i="3"/>
  <c r="AI20" i="3"/>
  <c r="AP20" i="3" s="1"/>
  <c r="AJ20" i="3" a="1"/>
  <c r="AJ20" i="3" s="1"/>
  <c r="AH20" i="3" a="1"/>
  <c r="AH20" i="3" s="1"/>
  <c r="AG20" i="3" a="1"/>
  <c r="AG20" i="3" s="1"/>
  <c r="AO20" i="3" s="1"/>
  <c r="AS20" i="3" s="1"/>
  <c r="AL20" i="3" a="1"/>
  <c r="AL20" i="3" s="1"/>
  <c r="AK20" i="3" a="1"/>
  <c r="AK20" i="3" s="1"/>
  <c r="AN20" i="3" s="1"/>
  <c r="AC20" i="3"/>
  <c r="BE20" i="3" s="1"/>
  <c r="AD20" i="3"/>
  <c r="AE20" i="3" s="1"/>
  <c r="BD20" i="3" s="1"/>
  <c r="BI20" i="3" s="1"/>
  <c r="BJ20" i="3" s="1"/>
  <c r="BL20" i="3" s="1"/>
  <c r="P20" i="3" s="1"/>
  <c r="D20" i="3"/>
  <c r="N23" i="3"/>
  <c r="AA23" i="3"/>
  <c r="D27" i="3"/>
  <c r="AL27" i="3" a="1"/>
  <c r="AL27" i="3" s="1"/>
  <c r="AG27" i="3" a="1"/>
  <c r="AG27" i="3" s="1"/>
  <c r="AO27" i="3" s="1"/>
  <c r="BB27" i="3"/>
  <c r="AN27" i="3"/>
  <c r="AX27" i="3" s="1"/>
  <c r="AR27" i="3"/>
  <c r="AI27" i="3"/>
  <c r="AP27" i="3" s="1"/>
  <c r="BA27" i="3"/>
  <c r="AD27" i="3"/>
  <c r="AE27" i="3" s="1"/>
  <c r="BD27" i="3" s="1"/>
  <c r="AU27" i="3"/>
  <c r="AH27" i="3" a="1"/>
  <c r="AH27" i="3" s="1"/>
  <c r="BN27" i="3"/>
  <c r="AK27" i="3" a="1"/>
  <c r="AK27" i="3" s="1"/>
  <c r="AC27" i="3"/>
  <c r="BE27" i="3" s="1"/>
  <c r="AT27" i="3"/>
  <c r="AJ27" i="3" a="1"/>
  <c r="AJ27" i="3" s="1"/>
  <c r="BH27" i="3"/>
  <c r="AS27" i="3"/>
  <c r="BF27" i="3" s="1"/>
  <c r="AV27" i="3"/>
  <c r="AY27" i="3"/>
  <c r="BG27" i="3" s="1"/>
  <c r="BI27" i="3"/>
  <c r="BJ27" i="3" s="1"/>
  <c r="BL27" i="3" s="1"/>
  <c r="P27" i="3" s="1"/>
  <c r="BO27" i="3"/>
  <c r="BP27" i="3" s="1"/>
  <c r="BQ27" i="3" s="1"/>
  <c r="X27" i="3" s="1"/>
  <c r="BK27" i="3"/>
  <c r="AC29" i="3"/>
  <c r="BE29" i="3" s="1"/>
  <c r="AN29" i="3"/>
  <c r="BA29" i="3" s="1"/>
  <c r="AG29" i="3" a="1"/>
  <c r="AG29" i="3" s="1"/>
  <c r="AO29" i="3" s="1"/>
  <c r="AV29" i="3" s="1"/>
  <c r="AL29" i="3" a="1"/>
  <c r="AL29" i="3" s="1"/>
  <c r="AD29" i="3"/>
  <c r="AE29" i="3" s="1"/>
  <c r="BD29" i="3" s="1"/>
  <c r="AI29" i="3"/>
  <c r="AP29" i="3" s="1"/>
  <c r="D29" i="3"/>
  <c r="AH29" i="3" a="1"/>
  <c r="AH29" i="3" s="1"/>
  <c r="AK29" i="3" a="1"/>
  <c r="AK29" i="3" s="1"/>
  <c r="BN29" i="3"/>
  <c r="AJ29" i="3" a="1"/>
  <c r="AJ29" i="3" s="1"/>
  <c r="AX29" i="3"/>
  <c r="AU29" i="3"/>
  <c r="AR29" i="3"/>
  <c r="AS29" i="3"/>
  <c r="AY29" i="3"/>
  <c r="BG29" i="3" s="1"/>
  <c r="AT29" i="3"/>
  <c r="BB29" i="3"/>
  <c r="BH29" i="3" s="1"/>
  <c r="BF29" i="3"/>
  <c r="BO29" i="3"/>
  <c r="BP29" i="3" s="1"/>
  <c r="BQ29" i="3" s="1"/>
  <c r="X29" i="3" s="1"/>
  <c r="BI29" i="3"/>
  <c r="BJ29" i="3" s="1"/>
  <c r="BK29" i="3"/>
  <c r="BL29" i="3"/>
  <c r="P29" i="3" s="1"/>
  <c r="AJ19" i="3" a="1"/>
  <c r="AJ19" i="3" s="1"/>
  <c r="AD19" i="3"/>
  <c r="AE19" i="3" s="1"/>
  <c r="BD19" i="3" s="1"/>
  <c r="BI19" i="3" s="1"/>
  <c r="AL19" i="3" a="1"/>
  <c r="AL19" i="3" s="1"/>
  <c r="AC19" i="3"/>
  <c r="BE19" i="3" s="1"/>
  <c r="D19" i="3"/>
  <c r="AI19" i="3"/>
  <c r="AP19" i="3" s="1"/>
  <c r="BN19" i="3"/>
  <c r="AH19" i="3" a="1"/>
  <c r="AH19" i="3" s="1"/>
  <c r="AK19" i="3" a="1"/>
  <c r="AK19" i="3" s="1"/>
  <c r="AN19" i="3" s="1"/>
  <c r="AG19" i="3" a="1"/>
  <c r="AG19" i="3" s="1"/>
  <c r="AO19" i="3" s="1"/>
  <c r="AV19" i="3" s="1"/>
  <c r="N24" i="3"/>
  <c r="AA24" i="3"/>
  <c r="N15" i="3"/>
  <c r="K4" i="3"/>
  <c r="AA15" i="3"/>
  <c r="AL2" i="3" a="1"/>
  <c r="AL2" i="3" s="1"/>
  <c r="AL3" i="3" a="1"/>
  <c r="AL3" i="3" s="1"/>
  <c r="AN21" i="3"/>
  <c r="BA21" i="3" s="1"/>
  <c r="AL21" i="3" a="1"/>
  <c r="AL21" i="3" s="1"/>
  <c r="AH21" i="3" a="1"/>
  <c r="AH21" i="3" s="1"/>
  <c r="AK21" i="3" a="1"/>
  <c r="AK21" i="3" s="1"/>
  <c r="D21" i="3"/>
  <c r="BN21" i="3"/>
  <c r="AE21" i="3"/>
  <c r="BD21" i="3" s="1"/>
  <c r="AJ21" i="3" a="1"/>
  <c r="AJ21" i="3" s="1"/>
  <c r="AD21" i="3"/>
  <c r="AC21" i="3"/>
  <c r="BE21" i="3" s="1"/>
  <c r="AP21" i="3"/>
  <c r="AI21" i="3"/>
  <c r="AG21" i="3" a="1"/>
  <c r="AG21" i="3" s="1"/>
  <c r="AO21" i="3" s="1"/>
  <c r="AR21" i="3" s="1"/>
  <c r="BB21" i="3"/>
  <c r="BH21" i="3" s="1"/>
  <c r="AX21" i="3"/>
  <c r="AU21" i="3"/>
  <c r="AS21" i="3"/>
  <c r="AT21" i="3"/>
  <c r="AV21" i="3"/>
  <c r="AY21" i="3"/>
  <c r="BG21" i="3" s="1"/>
  <c r="BF21" i="3"/>
  <c r="BO21" i="3"/>
  <c r="BP21" i="3" s="1"/>
  <c r="BQ21" i="3" s="1"/>
  <c r="X21" i="3" s="1"/>
  <c r="BI21" i="3"/>
  <c r="BJ21" i="3" s="1"/>
  <c r="BL21" i="3" s="1"/>
  <c r="P21" i="3" s="1"/>
  <c r="BK21" i="3"/>
  <c r="AA28" i="3"/>
  <c r="N28" i="3"/>
  <c r="AH3" i="3"/>
  <c r="BB36" i="3" s="1"/>
  <c r="AL23" i="3" a="1"/>
  <c r="AL23" i="3" s="1"/>
  <c r="AG23" i="3" a="1"/>
  <c r="AG23" i="3" s="1"/>
  <c r="AO23" i="3" s="1"/>
  <c r="AK23" i="3" a="1"/>
  <c r="AK23" i="3" s="1"/>
  <c r="AN23" i="3" s="1"/>
  <c r="AE23" i="3"/>
  <c r="BD23" i="3" s="1"/>
  <c r="AJ23" i="3" a="1"/>
  <c r="AJ23" i="3" s="1"/>
  <c r="AD23" i="3"/>
  <c r="BN23" i="3"/>
  <c r="AI23" i="3"/>
  <c r="AP23" i="3" s="1"/>
  <c r="BB23" i="3" s="1"/>
  <c r="D23" i="3"/>
  <c r="AC23" i="3"/>
  <c r="BE23" i="3" s="1"/>
  <c r="AH23" i="3" a="1"/>
  <c r="AH23" i="3" s="1"/>
  <c r="AU23" i="3"/>
  <c r="BA23" i="3"/>
  <c r="BH23" i="3" s="1"/>
  <c r="AS23" i="3"/>
  <c r="AT23" i="3"/>
  <c r="AR23" i="3"/>
  <c r="AV23" i="3"/>
  <c r="AX23" i="3"/>
  <c r="AY23" i="3"/>
  <c r="BG23" i="3" s="1"/>
  <c r="BF23" i="3"/>
  <c r="BI23" i="3"/>
  <c r="BJ23" i="3" s="1"/>
  <c r="BL23" i="3" s="1"/>
  <c r="P23" i="3" s="1"/>
  <c r="BO23" i="3"/>
  <c r="BP23" i="3" s="1"/>
  <c r="BQ23" i="3" s="1"/>
  <c r="X23" i="3" s="1"/>
  <c r="BK23" i="3"/>
  <c r="AK16" i="3" a="1"/>
  <c r="AK16" i="3" s="1"/>
  <c r="AN16" i="3" s="1"/>
  <c r="AJ16" i="3" a="1"/>
  <c r="AJ16" i="3" s="1"/>
  <c r="AD16" i="3"/>
  <c r="AE16" i="3" s="1"/>
  <c r="BD16" i="3" s="1"/>
  <c r="AC16" i="3"/>
  <c r="BE16" i="3" s="1"/>
  <c r="AG16" i="3" a="1"/>
  <c r="AG16" i="3" s="1"/>
  <c r="AO16" i="3" s="1"/>
  <c r="AH16" i="3" a="1"/>
  <c r="AH16" i="3" s="1"/>
  <c r="AL16" i="3" a="1"/>
  <c r="AL16" i="3" s="1"/>
  <c r="BN16" i="3"/>
  <c r="AI16" i="3"/>
  <c r="AP16" i="3" s="1"/>
  <c r="D16" i="3"/>
  <c r="AH28" i="3" a="1"/>
  <c r="AH28" i="3" s="1"/>
  <c r="AK28" i="3" a="1"/>
  <c r="AK28" i="3" s="1"/>
  <c r="AN28" i="3" s="1"/>
  <c r="BN28" i="3"/>
  <c r="AC28" i="3"/>
  <c r="BE28" i="3" s="1"/>
  <c r="AG28" i="3" a="1"/>
  <c r="AG28" i="3" s="1"/>
  <c r="AO28" i="3" s="1"/>
  <c r="AJ28" i="3" a="1"/>
  <c r="AJ28" i="3" s="1"/>
  <c r="AI28" i="3"/>
  <c r="AP28" i="3" s="1"/>
  <c r="AL28" i="3" a="1"/>
  <c r="AL28" i="3" s="1"/>
  <c r="D28" i="3"/>
  <c r="AD28" i="3"/>
  <c r="AE28" i="3" s="1"/>
  <c r="BD28" i="3" s="1"/>
  <c r="AX28" i="3"/>
  <c r="BG28" i="3" s="1"/>
  <c r="BA28" i="3"/>
  <c r="BH28" i="3" s="1"/>
  <c r="BB28" i="3"/>
  <c r="AU28" i="3"/>
  <c r="AT28" i="3"/>
  <c r="AS28" i="3"/>
  <c r="AY28" i="3"/>
  <c r="AV28" i="3"/>
  <c r="AR28" i="3"/>
  <c r="BF28" i="3"/>
  <c r="BO28" i="3" s="1"/>
  <c r="BP28" i="3" s="1"/>
  <c r="BQ28" i="3" s="1"/>
  <c r="X28" i="3" s="1"/>
  <c r="BL28" i="3"/>
  <c r="P28" i="3" s="1"/>
  <c r="BI28" i="3"/>
  <c r="BJ28" i="3" s="1"/>
  <c r="BK28" i="3"/>
  <c r="N18" i="3"/>
  <c r="AA18" i="3"/>
  <c r="BN22" i="3"/>
  <c r="AL22" i="3" a="1"/>
  <c r="AL22" i="3" s="1"/>
  <c r="AP22" i="3"/>
  <c r="BB22" i="3" s="1"/>
  <c r="AI22" i="3"/>
  <c r="AJ22" i="3" a="1"/>
  <c r="AJ22" i="3" s="1"/>
  <c r="AC22" i="3"/>
  <c r="BE22" i="3" s="1"/>
  <c r="AU22" i="3"/>
  <c r="AH22" i="3" a="1"/>
  <c r="AH22" i="3" s="1"/>
  <c r="D22" i="3"/>
  <c r="AG22" i="3" a="1"/>
  <c r="AG22" i="3" s="1"/>
  <c r="AK22" i="3" a="1"/>
  <c r="AK22" i="3" s="1"/>
  <c r="AN22" i="3" s="1"/>
  <c r="AX22" i="3" s="1"/>
  <c r="AD22" i="3"/>
  <c r="AE22" i="3" s="1"/>
  <c r="BD22" i="3" s="1"/>
  <c r="AO22" i="3"/>
  <c r="AT22" i="3" s="1"/>
  <c r="AR22" i="3"/>
  <c r="AS22" i="3"/>
  <c r="BA22" i="3"/>
  <c r="BH22" i="3" s="1"/>
  <c r="AV22" i="3"/>
  <c r="AY22" i="3"/>
  <c r="BG22" i="3" s="1"/>
  <c r="BF22" i="3"/>
  <c r="BO22" i="3"/>
  <c r="BP22" i="3" s="1"/>
  <c r="BQ22" i="3" s="1"/>
  <c r="X22" i="3" s="1"/>
  <c r="BI22" i="3"/>
  <c r="BJ22" i="3" s="1"/>
  <c r="BL22" i="3" s="1"/>
  <c r="P22" i="3" s="1"/>
  <c r="BK22" i="3"/>
  <c r="AH2" i="3"/>
  <c r="AY18" i="3" s="1"/>
  <c r="N22" i="3"/>
  <c r="AA22" i="3"/>
  <c r="AI25" i="3"/>
  <c r="AP25" i="3" s="1"/>
  <c r="AH25" i="3" a="1"/>
  <c r="AH25" i="3" s="1"/>
  <c r="BN25" i="3"/>
  <c r="AC25" i="3"/>
  <c r="BE25" i="3" s="1"/>
  <c r="AG25" i="3" a="1"/>
  <c r="AG25" i="3" s="1"/>
  <c r="AO25" i="3" s="1"/>
  <c r="AV25" i="3" s="1"/>
  <c r="AD25" i="3"/>
  <c r="AE25" i="3" s="1"/>
  <c r="BD25" i="3" s="1"/>
  <c r="AJ25" i="3" a="1"/>
  <c r="AJ25" i="3" s="1"/>
  <c r="AK25" i="3" a="1"/>
  <c r="AK25" i="3" s="1"/>
  <c r="AN25" i="3" s="1"/>
  <c r="AX25" i="3" s="1"/>
  <c r="AL25" i="3" a="1"/>
  <c r="AL25" i="3" s="1"/>
  <c r="D25" i="3"/>
  <c r="BA25" i="3"/>
  <c r="AR25" i="3"/>
  <c r="BF25" i="3" s="1"/>
  <c r="AY25" i="3"/>
  <c r="BG25" i="3" s="1"/>
  <c r="BB25" i="3"/>
  <c r="BH25" i="3" s="1"/>
  <c r="AU25" i="3"/>
  <c r="AT25" i="3"/>
  <c r="AS25" i="3"/>
  <c r="BI25" i="3"/>
  <c r="BJ25" i="3" s="1"/>
  <c r="BL25" i="3" s="1"/>
  <c r="P25" i="3" s="1"/>
  <c r="BK25" i="3"/>
  <c r="BO25" i="3"/>
  <c r="BP25" i="3" s="1"/>
  <c r="BQ25" i="3" s="1"/>
  <c r="X25" i="3" s="1"/>
  <c r="N25" i="3"/>
  <c r="AA25" i="3"/>
  <c r="AA17" i="3"/>
  <c r="N17" i="3"/>
  <c r="N26" i="3"/>
  <c r="AA26" i="3"/>
  <c r="D24" i="3"/>
  <c r="AG24" i="3" a="1"/>
  <c r="AG24" i="3" s="1"/>
  <c r="AO24" i="3" s="1"/>
  <c r="AI24" i="3"/>
  <c r="AP24" i="3"/>
  <c r="AY24" i="3" s="1"/>
  <c r="AL24" i="3" a="1"/>
  <c r="AL24" i="3" s="1"/>
  <c r="AK24" i="3" a="1"/>
  <c r="AK24" i="3" s="1"/>
  <c r="AN24" i="3" s="1"/>
  <c r="BA24" i="3" s="1"/>
  <c r="AH24" i="3" a="1"/>
  <c r="AH24" i="3" s="1"/>
  <c r="AC24" i="3"/>
  <c r="BE24" i="3" s="1"/>
  <c r="BN24" i="3"/>
  <c r="AD24" i="3"/>
  <c r="AE24" i="3" s="1"/>
  <c r="BD24" i="3" s="1"/>
  <c r="AJ24" i="3" a="1"/>
  <c r="AJ24" i="3" s="1"/>
  <c r="BG24" i="3"/>
  <c r="AS24" i="3"/>
  <c r="AV24" i="3"/>
  <c r="AR24" i="3"/>
  <c r="BB24" i="3"/>
  <c r="AX24" i="3"/>
  <c r="BH24" i="3"/>
  <c r="AT24" i="3"/>
  <c r="AU24" i="3"/>
  <c r="BO24" i="3"/>
  <c r="BP24" i="3" s="1"/>
  <c r="BQ24" i="3" s="1"/>
  <c r="X24" i="3" s="1"/>
  <c r="BF24" i="3"/>
  <c r="BI24" i="3" s="1"/>
  <c r="BJ24" i="3" s="1"/>
  <c r="BL24" i="3" s="1"/>
  <c r="P24" i="3" s="1"/>
  <c r="BK24" i="3"/>
  <c r="N27" i="3"/>
  <c r="BN17" i="3"/>
  <c r="AH17" i="3" a="1"/>
  <c r="AH17" i="3" s="1"/>
  <c r="AG17" i="3" a="1"/>
  <c r="AG17" i="3" s="1"/>
  <c r="AO17" i="3" s="1"/>
  <c r="AU17" i="3" s="1"/>
  <c r="AK17" i="3" a="1"/>
  <c r="AK17" i="3" s="1"/>
  <c r="AN17" i="3" s="1"/>
  <c r="AD17" i="3"/>
  <c r="AE17" i="3" s="1"/>
  <c r="BD17" i="3" s="1"/>
  <c r="BI17" i="3" s="1"/>
  <c r="AJ17" i="3" a="1"/>
  <c r="AJ17" i="3" s="1"/>
  <c r="AI17" i="3"/>
  <c r="AP17" i="3" s="1"/>
  <c r="BB17" i="3" s="1"/>
  <c r="AL17" i="3" a="1"/>
  <c r="AL17" i="3" s="1"/>
  <c r="AC17" i="3"/>
  <c r="BE17" i="3" s="1"/>
  <c r="D17" i="3"/>
  <c r="P3" i="3"/>
  <c r="AX36" i="3" l="1"/>
  <c r="BG36" i="3" s="1"/>
  <c r="BA36" i="3"/>
  <c r="BH36" i="3" s="1"/>
  <c r="BA35" i="3"/>
  <c r="BH35" i="3" s="1"/>
  <c r="AX35" i="3"/>
  <c r="BG35" i="3" s="1"/>
  <c r="AY35" i="3"/>
  <c r="BB35" i="3"/>
  <c r="AV35" i="3"/>
  <c r="AS35" i="3"/>
  <c r="AT35" i="3"/>
  <c r="AR35" i="3"/>
  <c r="AU35" i="3"/>
  <c r="AV36" i="3"/>
  <c r="AT36" i="3"/>
  <c r="AS36" i="3"/>
  <c r="AU36" i="3"/>
  <c r="AR36" i="3"/>
  <c r="BB34" i="3"/>
  <c r="AY36" i="3"/>
  <c r="AT34" i="3"/>
  <c r="AS34" i="3"/>
  <c r="AU34" i="3"/>
  <c r="AV34" i="3"/>
  <c r="AR34" i="3"/>
  <c r="BA34" i="3"/>
  <c r="AX34" i="3"/>
  <c r="AY34" i="3"/>
  <c r="AX20" i="3"/>
  <c r="BA19" i="3"/>
  <c r="AY17" i="3"/>
  <c r="BB16" i="3"/>
  <c r="BB19" i="3"/>
  <c r="BJ17" i="3"/>
  <c r="BL17" i="3" s="1"/>
  <c r="P17" i="3" s="1"/>
  <c r="BK17" i="3"/>
  <c r="BS17" i="3" s="1"/>
  <c r="BJ19" i="3"/>
  <c r="BL19" i="3" s="1"/>
  <c r="P19" i="3" s="1"/>
  <c r="BK19" i="3"/>
  <c r="BS19" i="3" s="1"/>
  <c r="BJ18" i="3"/>
  <c r="BL18" i="3" s="1"/>
  <c r="P18" i="3" s="1"/>
  <c r="BK18" i="3"/>
  <c r="BS18" i="3" s="1"/>
  <c r="AY16" i="3"/>
  <c r="AY20" i="3"/>
  <c r="AR18" i="3"/>
  <c r="AS18" i="3"/>
  <c r="AR17" i="3"/>
  <c r="AT19" i="3"/>
  <c r="BA20" i="3"/>
  <c r="AU20" i="3"/>
  <c r="AX17" i="3"/>
  <c r="AV18" i="3"/>
  <c r="AS17" i="3"/>
  <c r="AV17" i="3"/>
  <c r="AX19" i="3"/>
  <c r="BA18" i="3"/>
  <c r="BK20" i="3"/>
  <c r="BS20" i="3" s="1"/>
  <c r="R20" i="3" s="1"/>
  <c r="AT18" i="3"/>
  <c r="AT17" i="3"/>
  <c r="BA17" i="3"/>
  <c r="BH17" i="3" s="1"/>
  <c r="BB18" i="3"/>
  <c r="AS19" i="3"/>
  <c r="AV20" i="3"/>
  <c r="AY19" i="3"/>
  <c r="AT20" i="3"/>
  <c r="BB20" i="3"/>
  <c r="AR19" i="3"/>
  <c r="AX18" i="3"/>
  <c r="BG18" i="3" s="1"/>
  <c r="AU19" i="3"/>
  <c r="AR20" i="3"/>
  <c r="BB15" i="3"/>
  <c r="AY33" i="3"/>
  <c r="BB33" i="3"/>
  <c r="AR16" i="3"/>
  <c r="AT16" i="3"/>
  <c r="AU16" i="3"/>
  <c r="AS16" i="3"/>
  <c r="AV16" i="3"/>
  <c r="AX16" i="3"/>
  <c r="AV33" i="3"/>
  <c r="AS33" i="3"/>
  <c r="AU33" i="3"/>
  <c r="AR33" i="3"/>
  <c r="AT33" i="3"/>
  <c r="AX33" i="3"/>
  <c r="BA33" i="3"/>
  <c r="BA16" i="3"/>
  <c r="AY15" i="3"/>
  <c r="AX15" i="3"/>
  <c r="BA15" i="3"/>
  <c r="AV15" i="3"/>
  <c r="AU15" i="3"/>
  <c r="AS15" i="3"/>
  <c r="AR15" i="3"/>
  <c r="BS21" i="3"/>
  <c r="R21" i="3" s="1"/>
  <c r="BS46" i="3"/>
  <c r="R46" i="3" s="1"/>
  <c r="BS41" i="3"/>
  <c r="R41" i="3" s="1"/>
  <c r="BS44" i="3"/>
  <c r="R44" i="3" s="1"/>
  <c r="BS40" i="3"/>
  <c r="R40" i="3" s="1"/>
  <c r="BS37" i="3"/>
  <c r="R37" i="3" s="1"/>
  <c r="BS43" i="3"/>
  <c r="R43" i="3" s="1"/>
  <c r="BS38" i="3"/>
  <c r="R38" i="3" s="1"/>
  <c r="BS39" i="3"/>
  <c r="R39" i="3" s="1"/>
  <c r="BS42" i="3"/>
  <c r="R42" i="3" s="1"/>
  <c r="BS47" i="3"/>
  <c r="R47" i="3" s="1"/>
  <c r="BS27" i="3"/>
  <c r="R27" i="3" s="1"/>
  <c r="BS24" i="3"/>
  <c r="R24" i="3" s="1"/>
  <c r="BS26" i="3"/>
  <c r="R26" i="3" s="1"/>
  <c r="L4" i="3"/>
  <c r="BS29" i="3"/>
  <c r="R29" i="3" s="1"/>
  <c r="B8" i="5"/>
  <c r="B7" i="5"/>
  <c r="BS22" i="3"/>
  <c r="R22" i="3" s="1"/>
  <c r="BS28" i="3"/>
  <c r="R28" i="3" s="1"/>
  <c r="BS23" i="3"/>
  <c r="R23" i="3" s="1"/>
  <c r="BS25" i="3"/>
  <c r="R25" i="3" s="1"/>
  <c r="R3" i="3" a="1"/>
  <c r="R3" i="3" s="1"/>
  <c r="E10" i="5" a="1"/>
  <c r="E10" i="5" s="1"/>
  <c r="E7" i="5"/>
  <c r="E8" i="5"/>
  <c r="BH16" i="3" l="1"/>
  <c r="BF35" i="3"/>
  <c r="BF36" i="3"/>
  <c r="BG34" i="3"/>
  <c r="BH34" i="3"/>
  <c r="R18" i="3"/>
  <c r="BF34" i="3"/>
  <c r="BG20" i="3"/>
  <c r="BH18" i="3"/>
  <c r="BG17" i="3"/>
  <c r="BF20" i="3"/>
  <c r="R19" i="3"/>
  <c r="BF19" i="3"/>
  <c r="BG16" i="3"/>
  <c r="R17" i="3"/>
  <c r="BH19" i="3"/>
  <c r="BG19" i="3"/>
  <c r="BH20" i="3"/>
  <c r="BF17" i="3"/>
  <c r="BF18" i="3"/>
  <c r="BH15" i="3"/>
  <c r="BH33" i="3"/>
  <c r="BG33" i="3"/>
  <c r="BF33" i="3"/>
  <c r="BG15" i="3"/>
  <c r="BF16" i="3"/>
  <c r="BF15" i="3"/>
  <c r="B10" i="5"/>
  <c r="B13" i="5" s="1"/>
  <c r="B11" i="5"/>
  <c r="B14" i="5" s="1"/>
  <c r="E12" i="5"/>
  <c r="E11" i="5"/>
  <c r="M4" i="3" s="1"/>
  <c r="B16" i="5"/>
  <c r="BO34" i="3" l="1"/>
  <c r="BP34" i="3" s="1"/>
  <c r="BQ34" i="3" s="1"/>
  <c r="X34" i="3" s="1"/>
  <c r="BI34" i="3"/>
  <c r="BI33" i="3"/>
  <c r="BO36" i="3"/>
  <c r="BP36" i="3" s="1"/>
  <c r="BQ36" i="3" s="1"/>
  <c r="X36" i="3" s="1"/>
  <c r="BI36" i="3"/>
  <c r="BO35" i="3"/>
  <c r="BP35" i="3" s="1"/>
  <c r="BQ35" i="3" s="1"/>
  <c r="X35" i="3" s="1"/>
  <c r="BI35" i="3"/>
  <c r="BO16" i="3"/>
  <c r="BP16" i="3" s="1"/>
  <c r="BQ16" i="3" s="1"/>
  <c r="X16" i="3" s="1"/>
  <c r="BI16" i="3"/>
  <c r="BO17" i="3"/>
  <c r="BP17" i="3" s="1"/>
  <c r="BQ17" i="3" s="1"/>
  <c r="X17" i="3" s="1"/>
  <c r="BO19" i="3"/>
  <c r="BP19" i="3" s="1"/>
  <c r="BQ19" i="3" s="1"/>
  <c r="X19" i="3" s="1"/>
  <c r="BO18" i="3"/>
  <c r="BP18" i="3" s="1"/>
  <c r="BQ18" i="3" s="1"/>
  <c r="X18" i="3" s="1"/>
  <c r="BO20" i="3"/>
  <c r="BP20" i="3" s="1"/>
  <c r="BQ20" i="3" s="1"/>
  <c r="X20" i="3" s="1"/>
  <c r="BO33" i="3"/>
  <c r="BP33" i="3" s="1"/>
  <c r="BQ33" i="3" s="1"/>
  <c r="X33" i="3" s="1"/>
  <c r="BO15" i="3"/>
  <c r="BP15" i="3" s="1"/>
  <c r="BQ15" i="3" s="1"/>
  <c r="X15" i="3" s="1"/>
  <c r="BI15" i="3"/>
  <c r="K5" i="3"/>
  <c r="K7" i="3"/>
  <c r="L7" i="3"/>
  <c r="B18" i="5"/>
  <c r="BJ34" i="3" l="1"/>
  <c r="BL34" i="3" s="1"/>
  <c r="BK34" i="3"/>
  <c r="BS34" i="3" s="1"/>
  <c r="R34" i="3" s="1"/>
  <c r="BJ16" i="3"/>
  <c r="BL16" i="3" s="1"/>
  <c r="P16" i="3" s="1"/>
  <c r="BK16" i="3"/>
  <c r="BS16" i="3" s="1"/>
  <c r="BJ33" i="3"/>
  <c r="BL33" i="3" s="1"/>
  <c r="BK33" i="3"/>
  <c r="BS33" i="3" s="1"/>
  <c r="R33" i="3" s="1"/>
  <c r="BJ36" i="3"/>
  <c r="BL36" i="3"/>
  <c r="BK36" i="3"/>
  <c r="BS36" i="3" s="1"/>
  <c r="R36" i="3" s="1"/>
  <c r="BJ35" i="3"/>
  <c r="BK35" i="3"/>
  <c r="BS35" i="3" s="1"/>
  <c r="R35" i="3" s="1"/>
  <c r="BL35" i="3"/>
  <c r="BJ15" i="3"/>
  <c r="BL15" i="3" s="1"/>
  <c r="BK15" i="3"/>
  <c r="BS15" i="3" s="1"/>
  <c r="T3" i="3"/>
  <c r="H2" i="5" l="1"/>
  <c r="R16" i="3"/>
  <c r="B39" i="5"/>
  <c r="P15" i="3"/>
  <c r="R15" i="3" s="1"/>
  <c r="H3" i="5" s="1"/>
  <c r="B38" i="5"/>
  <c r="AA7" i="3"/>
  <c r="AA4" i="3"/>
  <c r="AA6" i="3"/>
  <c r="AA5"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<sst xmlns="http://schemas.openxmlformats.org/spreadsheetml/2006/main" count="296" uniqueCount="284">
  <si>
    <r>
      <rPr>
        <b/>
        <sz val="18"/>
        <color rgb="FF124444"/>
        <rFont val="Arial"/>
        <family val="2"/>
      </rPr>
      <t>The Mortgage Works Property Schedule</t>
    </r>
    <r>
      <rPr>
        <b/>
        <sz val="12"/>
        <color rgb="FFED7700"/>
        <rFont val="Arial"/>
        <family val="2"/>
      </rPr>
      <t xml:space="preserve">
</t>
    </r>
    <r>
      <rPr>
        <b/>
        <sz val="10"/>
        <rFont val="Arial"/>
        <family val="2"/>
      </rPr>
      <t>It's important you complete this document as per the guidance below to ensure you're able to upload this through the portal.</t>
    </r>
    <r>
      <rPr>
        <sz val="10"/>
        <rFont val="Arial"/>
        <family val="2"/>
      </rPr>
      <t xml:space="preserve">
If your client has a large number of properties in their portfolio, you can insert additional rows in the </t>
    </r>
    <r>
      <rPr>
        <b/>
        <sz val="10"/>
        <rFont val="Arial"/>
        <family val="2"/>
      </rPr>
      <t>Buy to Let properties</t>
    </r>
    <r>
      <rPr>
        <sz val="10"/>
        <rFont val="Arial"/>
        <family val="2"/>
      </rPr>
      <t xml:space="preserve"> section.  Please note you don't need to include properties outside the UK, in flight The Mortgage Works applications or commercial properties.
Please don't insert any additional columns or use copy and paste as this will change the formatting.  Please ensure you only use the drop down option and not free text, where available.
If you have any questions or issues not covered in the guidance below or on our website, please contact us using Broker Chat, by selecting 'Click here to get started' where we'll be happy to help.
For more information on how to upload the form or how to key your client's portfolio details directly into the The Mortgage Works Portfolio Portal, visit our dedicated website page at </t>
    </r>
    <r>
      <rPr>
        <b/>
        <sz val="10"/>
        <rFont val="Arial"/>
        <family val="2"/>
      </rPr>
      <t>themortgageworks.co.uk/intermediaries/portfolio</t>
    </r>
    <r>
      <rPr>
        <sz val="10"/>
        <rFont val="Arial"/>
        <family val="2"/>
      </rPr>
      <t xml:space="preserve">
For use by professionals only.</t>
    </r>
  </si>
  <si>
    <r>
      <rPr>
        <b/>
        <sz val="9"/>
        <color theme="0"/>
        <rFont val="Arial"/>
        <family val="2"/>
      </rPr>
      <t>Ownership type</t>
    </r>
    <r>
      <rPr>
        <sz val="9"/>
        <color theme="0"/>
        <rFont val="Arial"/>
        <family val="2"/>
      </rPr>
      <t xml:space="preserve"> 
Select which applicant or combination of applicants own the property. Or choose Limited Company</t>
    </r>
  </si>
  <si>
    <r>
      <rPr>
        <b/>
        <sz val="9"/>
        <color theme="0"/>
        <rFont val="Arial"/>
        <family val="2"/>
      </rPr>
      <t>Company name</t>
    </r>
    <r>
      <rPr>
        <sz val="9"/>
        <color theme="0"/>
        <rFont val="Arial"/>
        <family val="2"/>
      </rPr>
      <t xml:space="preserve">
Only input name if owned in a Limited Company</t>
    </r>
  </si>
  <si>
    <t>Address line 1</t>
  </si>
  <si>
    <t>Address line 2</t>
  </si>
  <si>
    <t>Address line 3</t>
  </si>
  <si>
    <t>Address line 4</t>
  </si>
  <si>
    <t>Town/City</t>
  </si>
  <si>
    <t>County</t>
  </si>
  <si>
    <t>Postcode</t>
  </si>
  <si>
    <r>
      <rPr>
        <b/>
        <sz val="9"/>
        <color theme="0"/>
        <rFont val="Arial"/>
        <family val="2"/>
      </rPr>
      <t>Number of bedrooms</t>
    </r>
    <r>
      <rPr>
        <sz val="9"/>
        <color theme="0"/>
        <rFont val="Arial"/>
        <family val="2"/>
      </rPr>
      <t xml:space="preserve">
Input numerical value</t>
    </r>
  </si>
  <si>
    <r>
      <rPr>
        <b/>
        <sz val="9"/>
        <color theme="0"/>
        <rFont val="Arial"/>
        <family val="2"/>
      </rPr>
      <t>HMO?</t>
    </r>
    <r>
      <rPr>
        <sz val="9"/>
        <color theme="0"/>
        <rFont val="Arial"/>
        <family val="2"/>
      </rPr>
      <t xml:space="preserve">
(Y/N)</t>
    </r>
  </si>
  <si>
    <r>
      <rPr>
        <b/>
        <sz val="9"/>
        <color theme="0"/>
        <rFont val="Arial"/>
        <family val="2"/>
      </rPr>
      <t xml:space="preserve">Property type </t>
    </r>
    <r>
      <rPr>
        <sz val="9"/>
        <color theme="0"/>
        <rFont val="Arial"/>
        <family val="2"/>
      </rPr>
      <t xml:space="preserve">
Select one of:
Detached House, Semi–Detached House, Terraced House, End Terraced House, Detached Bungalow, Semi–Detached Bungalow, Terraced Bungalow, End Terrace - Bungalow, Purpose Built Flat / Maisonette, Converted Flat / Maisonette, Other property</t>
    </r>
  </si>
  <si>
    <r>
      <rPr>
        <b/>
        <sz val="9"/>
        <color theme="0"/>
        <rFont val="Arial"/>
        <family val="2"/>
      </rPr>
      <t>Mortgage Balance</t>
    </r>
    <r>
      <rPr>
        <sz val="9"/>
        <color theme="0"/>
        <rFont val="Arial"/>
        <family val="2"/>
      </rPr>
      <t xml:space="preserve">
If unencumbered leave blank or enter £0</t>
    </r>
  </si>
  <si>
    <r>
      <rPr>
        <b/>
        <sz val="9"/>
        <color theme="0"/>
        <rFont val="Arial"/>
        <family val="2"/>
      </rPr>
      <t>Lender</t>
    </r>
    <r>
      <rPr>
        <sz val="9"/>
        <color theme="0"/>
        <rFont val="Arial"/>
        <family val="2"/>
      </rPr>
      <t xml:space="preserve">
If unencumbered leave blank</t>
    </r>
  </si>
  <si>
    <t>Current estimated valuation</t>
  </si>
  <si>
    <t>Monthly rental income</t>
  </si>
  <si>
    <t>Multiple Property Mortgage? (Y/N)
See 'Important Guidance'</t>
  </si>
  <si>
    <r>
      <rPr>
        <b/>
        <sz val="9"/>
        <color theme="0"/>
        <rFont val="Arial"/>
        <family val="2"/>
      </rPr>
      <t>Monthly Mortgage Payment</t>
    </r>
    <r>
      <rPr>
        <sz val="9"/>
        <color theme="0"/>
        <rFont val="Arial"/>
        <family val="2"/>
      </rPr>
      <t xml:space="preserve">
If unencumbered leave blank or enter £0</t>
    </r>
  </si>
  <si>
    <t>Mortgage Balance</t>
  </si>
  <si>
    <t>Value</t>
  </si>
  <si>
    <t>Rental</t>
  </si>
  <si>
    <t>AVM Value</t>
  </si>
  <si>
    <t>AVM Rental</t>
  </si>
  <si>
    <t>Client Type</t>
  </si>
  <si>
    <t>TMW  number</t>
  </si>
  <si>
    <t>External number</t>
  </si>
  <si>
    <t>Unique Identifier</t>
  </si>
  <si>
    <t xml:space="preserve">Main Residential property if owned - Enter details of each applicant. Please don't enter any details in this section if your client rents their residential property. Only include details of residential properties owned.  </t>
  </si>
  <si>
    <t>RESIDENTIAL</t>
  </si>
  <si>
    <t>Applicant 1</t>
  </si>
  <si>
    <t>Semi-Detached House</t>
  </si>
  <si>
    <r>
      <t xml:space="preserve">Buy to Let properties - </t>
    </r>
    <r>
      <rPr>
        <sz val="11"/>
        <color indexed="8"/>
        <rFont val="Arial"/>
        <family val="2"/>
      </rPr>
      <t>Please enter details of ALL properties in the portfolio, both mortgaged and unencumbered, including those owned as the shareholder of a limited company.</t>
    </r>
  </si>
  <si>
    <t>BUYTOLET</t>
  </si>
  <si>
    <t>No</t>
  </si>
  <si>
    <t>Converted Flat / Maisonette</t>
  </si>
  <si>
    <t>End Terraced House</t>
  </si>
  <si>
    <t>Terraced House</t>
  </si>
  <si>
    <t>Purpose Built Flat / Maisonette</t>
  </si>
  <si>
    <t>Detached House</t>
  </si>
  <si>
    <t>Applicant 2</t>
  </si>
  <si>
    <t>Applicant 3</t>
  </si>
  <si>
    <t>Applicant 4</t>
  </si>
  <si>
    <t>Total</t>
  </si>
  <si>
    <t>©2025 Nationwide Building Society</t>
  </si>
  <si>
    <t xml:space="preserve"> </t>
  </si>
  <si>
    <t>Aggregate Portfolio Loan to Value (LTV)</t>
  </si>
  <si>
    <t>Current lending with The Mortgage Works</t>
  </si>
  <si>
    <t>Proposed lending with The Mortgage Works</t>
  </si>
  <si>
    <t>Portfolio equity available</t>
  </si>
  <si>
    <t>Maximum lending on exposure with The Mortgage Works</t>
  </si>
  <si>
    <t>Exposure Cap</t>
  </si>
  <si>
    <t>Portfolio Value</t>
  </si>
  <si>
    <t>Portfolio Balance</t>
  </si>
  <si>
    <t>Current</t>
  </si>
  <si>
    <t>Proposed</t>
  </si>
  <si>
    <t>Maximum</t>
  </si>
  <si>
    <t>Portfolio Rental</t>
  </si>
  <si>
    <t>Mortgages</t>
  </si>
  <si>
    <t>up to 75%</t>
  </si>
  <si>
    <t>Product stress rate (please enter relevant %)</t>
  </si>
  <si>
    <t>Enter information below</t>
  </si>
  <si>
    <t>up to 70%</t>
  </si>
  <si>
    <t>Minimum</t>
  </si>
  <si>
    <t>Check Stress Rate policy</t>
  </si>
  <si>
    <t>Click on the column headings
 for more information</t>
  </si>
  <si>
    <t>up to 65%</t>
  </si>
  <si>
    <t>Remortgage / Purchase</t>
  </si>
  <si>
    <t>Further Advance</t>
  </si>
  <si>
    <t>up to 60%</t>
  </si>
  <si>
    <t>Max loan on exposure band</t>
  </si>
  <si>
    <t>Max loan on portfolio LTV</t>
  </si>
  <si>
    <t>Max loan on portfolio ICR</t>
  </si>
  <si>
    <t>FA Rate</t>
  </si>
  <si>
    <t>Stress Rate</t>
  </si>
  <si>
    <t>Original Lender</t>
  </si>
  <si>
    <t>Exists</t>
  </si>
  <si>
    <t>With TMW</t>
  </si>
  <si>
    <t>Address</t>
  </si>
  <si>
    <t>Early Repayment Charge end date</t>
  </si>
  <si>
    <t>Mortgage balance</t>
  </si>
  <si>
    <t>Current Loan to Value (LTV)</t>
  </si>
  <si>
    <t>Additional capital raising</t>
  </si>
  <si>
    <t>Order of submission</t>
  </si>
  <si>
    <t>Stress rate needed for requested loan 
(if possible)</t>
  </si>
  <si>
    <t>Requested total loan</t>
  </si>
  <si>
    <t>Requested Loan to Value (LTV)</t>
  </si>
  <si>
    <t>Max Loan on Property LTV</t>
  </si>
  <si>
    <t>ICR Threshold</t>
  </si>
  <si>
    <t>Max Loan on Property ICR</t>
  </si>
  <si>
    <t>TMW Exposure not including this case (not tiered)</t>
  </si>
  <si>
    <t>TMW Exposure not including this case (tiered)</t>
  </si>
  <si>
    <t>Overall Exposure before this case (not tiered)</t>
  </si>
  <si>
    <t>Overall Exposure before this case (tiered)</t>
  </si>
  <si>
    <t>Number of Properties (not tiered)</t>
  </si>
  <si>
    <t>Number of Properties (tiered)</t>
  </si>
  <si>
    <t>Number of Properties</t>
  </si>
  <si>
    <t>TMW Exposure before this case</t>
  </si>
  <si>
    <t>Overall Exposure before this case</t>
  </si>
  <si>
    <t>&lt;£750K
(80%)</t>
  </si>
  <si>
    <t>&lt;£1M
(75%)</t>
  </si>
  <si>
    <t>£1M - £1.5M
(70%)</t>
  </si>
  <si>
    <t>£1.5M - £2.0M
(65%)</t>
  </si>
  <si>
    <t>&gt;£2m
(60%</t>
  </si>
  <si>
    <t>Max loan on portfolio LTV whilst staying within tier 1</t>
  </si>
  <si>
    <t>Max loan on portfolio LTV at tier 2</t>
  </si>
  <si>
    <t>Max loan on portfolio ICR whilst staying within tier 1</t>
  </si>
  <si>
    <t>Max loan on portfolio ICR at tier 2</t>
  </si>
  <si>
    <t>Max Loan on Exposure</t>
  </si>
  <si>
    <t>Max Loan on Portfolio LTV</t>
  </si>
  <si>
    <t>Max Loan on Portfolio ICR</t>
  </si>
  <si>
    <t>Max Loan Overall</t>
  </si>
  <si>
    <t>Max Additional Borrowing Absolute</t>
  </si>
  <si>
    <t>Max Additional Borrowing Available</t>
  </si>
  <si>
    <t>Within Portfolio / Exposure Criteria</t>
  </si>
  <si>
    <t>Requested Total Loan</t>
  </si>
  <si>
    <t>Max loan ignoring product rate (ie only looking at portfolio and Exposure)</t>
  </si>
  <si>
    <t>Is loan achievable if you ignore product rate (ie is there a product rate that makes this viable)</t>
  </si>
  <si>
    <t>Maximum Stress Rate required to achieve requested loan</t>
  </si>
  <si>
    <t>Rental Properties not mortgaged with The Mortgage Works</t>
  </si>
  <si>
    <t>E1</t>
  </si>
  <si>
    <t>E2</t>
  </si>
  <si>
    <t>E3</t>
  </si>
  <si>
    <t>E4</t>
  </si>
  <si>
    <t>E5</t>
  </si>
  <si>
    <t>E6</t>
  </si>
  <si>
    <t>E7</t>
  </si>
  <si>
    <t>E8</t>
  </si>
  <si>
    <t>E9</t>
  </si>
  <si>
    <t>E10</t>
  </si>
  <si>
    <t>E11</t>
  </si>
  <si>
    <t>E12</t>
  </si>
  <si>
    <t>E13</t>
  </si>
  <si>
    <t>E14</t>
  </si>
  <si>
    <t>E15</t>
  </si>
  <si>
    <t>Buy to Let properties with The Mortgage Works</t>
  </si>
  <si>
    <t>T1</t>
  </si>
  <si>
    <t>T2</t>
  </si>
  <si>
    <t>T3</t>
  </si>
  <si>
    <t>T4</t>
  </si>
  <si>
    <t>T5</t>
  </si>
  <si>
    <t>T6</t>
  </si>
  <si>
    <t>T7</t>
  </si>
  <si>
    <t>T8</t>
  </si>
  <si>
    <t>T9</t>
  </si>
  <si>
    <t>T10</t>
  </si>
  <si>
    <t>T11</t>
  </si>
  <si>
    <t>T12</t>
  </si>
  <si>
    <t>T13</t>
  </si>
  <si>
    <t>T14</t>
  </si>
  <si>
    <t>This assessment is for illustrative purposes only and is based on the information that you have provided us with (i.e. property value and outstanding lending), and assumes that the relevant product stress rate has been entered.</t>
  </si>
  <si>
    <t>Underwritten by</t>
  </si>
  <si>
    <t>Underwriter's notes</t>
  </si>
  <si>
    <t>Portfolio Review</t>
  </si>
  <si>
    <t>More information on our personalised Portfolio Reviews</t>
  </si>
  <si>
    <t>For Intermediary use only.</t>
  </si>
  <si>
    <t>Minimum ICRs</t>
  </si>
  <si>
    <t>Minimum Value</t>
  </si>
  <si>
    <t>Minimum Loan</t>
  </si>
  <si>
    <t>Introduction Capital Raising</t>
  </si>
  <si>
    <t>Named Ranges to Remove</t>
  </si>
  <si>
    <t>Portfolio Tool Triggers</t>
  </si>
  <si>
    <t>Standard</t>
  </si>
  <si>
    <t>TMW</t>
  </si>
  <si>
    <t>Acceptable_SIC_Codes</t>
  </si>
  <si>
    <t>Description</t>
  </si>
  <si>
    <t>Logic</t>
  </si>
  <si>
    <t>Text</t>
  </si>
  <si>
    <t>LRTP</t>
  </si>
  <si>
    <t>External</t>
  </si>
  <si>
    <t>Any_unacceptable_codes</t>
  </si>
  <si>
    <t>Value AVMs</t>
  </si>
  <si>
    <t>Value variance &gt; 10%</t>
  </si>
  <si>
    <t>The AVMs we have completed on the portfolio have returned generally lower values than the applicants' estimates.  This may restrict lending if the portfolio LTV increases.</t>
  </si>
  <si>
    <t>HMO</t>
  </si>
  <si>
    <t>App2_Exists</t>
  </si>
  <si>
    <t>Rental AVMs</t>
  </si>
  <si>
    <t>Rental variance &gt; 10%</t>
  </si>
  <si>
    <t>The AVMs we have completed on the portfolio have returned generally lower rentals than the applicants' estimates.  This may restrict lending if the portfolio ICR decreases.</t>
  </si>
  <si>
    <t>Limited Company</t>
  </si>
  <si>
    <t>App3_Exists</t>
  </si>
  <si>
    <t>LTV exception made</t>
  </si>
  <si>
    <t>LTV &gt; Limit</t>
  </si>
  <si>
    <t>The portfolio does not meet our LTV requirements based on the applicant's value estimates, however we have made a policy exception for this case.  Whilst further applications can be considered on a case by case basis, we are unlikely to accept remortgages with capital raising, further advances and high-LTV purchases as these will weaken the portfolio further.</t>
  </si>
  <si>
    <t>New Lending Summary</t>
  </si>
  <si>
    <t>App4_Exists</t>
  </si>
  <si>
    <t>ICR exception made</t>
  </si>
  <si>
    <t>ICR &lt; 145%</t>
  </si>
  <si>
    <t>The portfolio does not meet our ICR requirements based on the applicant's rental estimates, however we have made a policy exception for this case.  Whilst further applications can be considered on a case by case basis, we are unlikely to accept remortgages with capital raising, further advances and low-ICR purchases as these will weaken the portfolio further.</t>
  </si>
  <si>
    <t>Max Loan on Rental at Tier 1</t>
  </si>
  <si>
    <t>Max loan on LTV at Tier 1</t>
  </si>
  <si>
    <t>Tier</t>
  </si>
  <si>
    <t>LTV</t>
  </si>
  <si>
    <t>ApplicantNameOptions</t>
  </si>
  <si>
    <t>App 1 Resi</t>
  </si>
  <si>
    <t>ICR including Resi &lt; 145%</t>
  </si>
  <si>
    <t>Applicant 1 has a residential mortgage liability which is not adequately supported by the portfolio.  If this is supported by non-BTL income it is likely this will need to be proven on future applications.</t>
  </si>
  <si>
    <t>Max Loan on Rental at Tier 2-3</t>
  </si>
  <si>
    <t>Max loan on LTV at Tier 2-3</t>
  </si>
  <si>
    <t>BDM_Emails</t>
  </si>
  <si>
    <t>App 2 Resi</t>
  </si>
  <si>
    <t>Applicant 2 has a residential mortgage liability which is not adequately supported by the portfolio.  If this is supported by non-BTL income it is likely this will need to be proven on future applications.</t>
  </si>
  <si>
    <t>Cancel_Codes</t>
  </si>
  <si>
    <t>Exposure Exact</t>
  </si>
  <si>
    <t>6+ properties in same PC</t>
  </si>
  <si>
    <t>The portfolio has a high concentration of properties in the same postcode and further purchases in this postcode are at risk of decline.</t>
  </si>
  <si>
    <t>Max Loan Tier 1</t>
  </si>
  <si>
    <t>Current Tier</t>
  </si>
  <si>
    <t>Company_Age</t>
  </si>
  <si>
    <t>Exposure Partial</t>
  </si>
  <si>
    <t>11+ properties in same PC area</t>
  </si>
  <si>
    <t>The portfolio has a high concentration of properties in the same postcode area and further purchases in this postcode area are at risk of decline.</t>
  </si>
  <si>
    <t>Max Loan Tier 2-3</t>
  </si>
  <si>
    <t>Tier LTV</t>
  </si>
  <si>
    <t>Decline_Codes</t>
  </si>
  <si>
    <t>Outliers ICR</t>
  </si>
  <si>
    <t>&gt;0 properties &lt; 100% ICR</t>
  </si>
  <si>
    <t>The portfolio has one or more properties with rentals which are below 100% ICR at the current portfolio stress rate.  It is possible that the figures provided may be wrong - please check these.</t>
  </si>
  <si>
    <t>Tier Stress</t>
  </si>
  <si>
    <t>Employment_Status</t>
  </si>
  <si>
    <t>Outliers LTV</t>
  </si>
  <si>
    <t>&gt;0 properties &gt;90% LTV</t>
  </si>
  <si>
    <t>The portfolio has one or more properties with mortgages which are above 90% Loan to Value.  It is possible that the figures provided may be wrong - please check these.</t>
  </si>
  <si>
    <t>Cap Raise Available on Tier 1 figures</t>
  </si>
  <si>
    <t>EndOfInflight</t>
  </si>
  <si>
    <t>Applicant Age</t>
  </si>
  <si>
    <t>ApplicantAge &gt;= 71</t>
  </si>
  <si>
    <t>One or more of the borrowers is over 70 years age. Applications will be limited to a maximum loan to value of 65%.</t>
  </si>
  <si>
    <t>Cap Raise Available on Tier 2-3 figures</t>
  </si>
  <si>
    <t>Portfolio Minimum ICR</t>
  </si>
  <si>
    <t>Exposure</t>
  </si>
  <si>
    <t>Default Product Stress Rate</t>
  </si>
  <si>
    <t>Inflight_Accounts</t>
  </si>
  <si>
    <t>Cap Raise before hitting 1M exposure</t>
  </si>
  <si>
    <t>Portfolio Maximum LTV</t>
  </si>
  <si>
    <t>LRTP_CASE</t>
  </si>
  <si>
    <t>Loan Minimum Stress Rate</t>
  </si>
  <si>
    <t>LTV_Threshold</t>
  </si>
  <si>
    <t>Cap Raise Available</t>
  </si>
  <si>
    <t>Default FA Stress Rate</t>
  </si>
  <si>
    <t>Mandates</t>
  </si>
  <si>
    <t>MaxLoan_EXPLL</t>
  </si>
  <si>
    <t>Property Types</t>
  </si>
  <si>
    <t>Applicant Types</t>
  </si>
  <si>
    <t>YesNo</t>
  </si>
  <si>
    <t>MaxLoan_FTLL</t>
  </si>
  <si>
    <t>Yes</t>
  </si>
  <si>
    <t>MaxLoan_HMO</t>
  </si>
  <si>
    <t>Product_Type</t>
  </si>
  <si>
    <t>Reason_For_Query</t>
  </si>
  <si>
    <t>Stress_Rate_Bands</t>
  </si>
  <si>
    <t>Detached Bungalow</t>
  </si>
  <si>
    <t>Tier_Check</t>
  </si>
  <si>
    <t>Semi-Detached Bungalow</t>
  </si>
  <si>
    <t>Applicant 1 &amp; 2</t>
  </si>
  <si>
    <t>Tier_Thresholds</t>
  </si>
  <si>
    <t>Terraced Bungalow</t>
  </si>
  <si>
    <t>Applicant 2 &amp; 3</t>
  </si>
  <si>
    <t>Transaction</t>
  </si>
  <si>
    <t>End Terrace - Bungalow</t>
  </si>
  <si>
    <t>Applicant 3 &amp; 4</t>
  </si>
  <si>
    <t>Worst_Status_List</t>
  </si>
  <si>
    <t>Applicant 1 &amp; 4</t>
  </si>
  <si>
    <t>Applicant 1 &amp; 3</t>
  </si>
  <si>
    <t>Other Property</t>
  </si>
  <si>
    <t>Applicant 2 &amp; 4</t>
  </si>
  <si>
    <t>Applicant 1,2 &amp; 3</t>
  </si>
  <si>
    <t>Applicant 2,3 &amp; 4</t>
  </si>
  <si>
    <t>Applicant 1,2 &amp; 4</t>
  </si>
  <si>
    <t>Applicant 1,3 &amp; 4</t>
  </si>
  <si>
    <t>Applicant 1,2,3 &amp; 4</t>
  </si>
  <si>
    <t>Portfolio Potential</t>
  </si>
  <si>
    <t>Number of Properties Targetted</t>
  </si>
  <si>
    <t>T15</t>
  </si>
  <si>
    <t xml:space="preserve">for: </t>
  </si>
  <si>
    <t>[insert Client name]</t>
  </si>
  <si>
    <t>How to complete the Portfolio Review</t>
  </si>
  <si>
    <t>1. Property Schedule</t>
  </si>
  <si>
    <t>Go to the Property Schedule</t>
  </si>
  <si>
    <t>Complete the Property Schedule with the details of your client's portfolio, as this will automatically update the tool. If any information is entered incorrectly this will impact the results within the Portfolio Review tool.
For any mortgages held with us, enter as 'The Mortgage Works'.
You can then use this schedule to upload to our Portfolio Portal when submitting a case with us.</t>
  </si>
  <si>
    <t>2. Portfolio Review</t>
  </si>
  <si>
    <t>Go to the Portfolio Review</t>
  </si>
  <si>
    <t xml:space="preserve">Use this tool to help make the most of your client’s portfolio. See an indicative view of future lending potential with The Mortgage Works. Have confidence that it is in line with our criteria and affordability policies.
In the Portfolio Review tool, click on the column headings for more information. For further guidance link to our website below, or speak to your BDM.
</t>
  </si>
  <si>
    <t>Important information: This review is based on the information you enter about your client’s current mortgage(s). These include the balance, outstanding term and the interest rate applicable. The assumptions have purely been made to allow us to produce this review and aren’t intended as advice. Nor are they intended as guidance as to the type and nature of any mortgage your client may wish to consider. We suggest that your client seeks independent financial advice as to their borrowing requirements based on their needs and circumstances.
The Personalised Portfolio Review is owned by and contains confidential information belonging to Nationwide Building Society. It is provided to the recipient of this email for its sole use and must not be shared with any third parties. © 2025 Nationwide Building Society.
The Mortgage Works (UK) plc is a wholly owned subsidiary of Nationwide Building Society and is authorised and regulated by the Financial Conduct Authority (FCA) under registration number 189623. Most buy to let mortgages aren’t regulated by the FCA. You can confirm our registration on the FCA’s website: fca.org.uk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</si>
</sst>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quot;#,##0_);[Red]\(&quot;£&quot;#,##0\)"/>
    <numFmt numFmtId="165" formatCode="&quot;£&quot;#,##0.00_);[Red]\(&quot;£&quot;#,##0.00\)"/>
    <numFmt numFmtId="166" formatCode="_(* #,##0.00_);_(* \(#,##0.00\);_(* &quot;-&quot;??_);_(@_)"/>
    <numFmt numFmtId="167" formatCode="&quot;£&quot;#,##0.00"/>
    <numFmt numFmtId="168" formatCode="&quot;£&quot;#,##0"/>
    <numFmt numFmtId="169" formatCode="0.0%"/>
    <numFmt numFmtId="170" formatCode="&quot;£&quot;#####,&quot;k&quot;"/>
    <numFmt numFmtId="171" formatCode="&quot;£&quot;0,&quot;k&quot;"/>
  </numFmts>
  <fonts count="44" x14ac:knownFonts="1">
    <font>
      <sz val="11"/>
      <color theme="1"/>
      <name val="Calibri"/>
      <family val="2"/>
      <scheme val="minor"/>
    </font>
    <font>
      <sz val="11"/>
      <color theme="1"/>
      <name val="Calibri"/>
      <family val="2"/>
      <scheme val="minor"/>
    </font>
    <font>
      <b/>
      <sz val="11"/>
      <color rgb="FFFA7D00"/>
      <name val="Calibri"/>
      <family val="2"/>
      <scheme val="minor"/>
    </font>
    <font>
      <sz val="11"/>
      <color theme="1"/>
      <name val="Arial"/>
      <family val="2"/>
    </font>
    <font>
      <b/>
      <sz val="12"/>
      <color rgb="FFED7700"/>
      <name val="Arial"/>
      <family val="2"/>
    </font>
    <font>
      <b/>
      <sz val="18"/>
      <color rgb="FF124444"/>
      <name val="Arial"/>
      <family val="2"/>
    </font>
    <font>
      <b/>
      <sz val="10"/>
      <name val="Arial"/>
      <family val="2"/>
    </font>
    <font>
      <sz val="10"/>
      <name val="Arial"/>
      <family val="2"/>
    </font>
    <font>
      <b/>
      <sz val="10"/>
      <color rgb="FFED7700"/>
      <name val="Arial"/>
      <family val="2"/>
    </font>
    <font>
      <sz val="9"/>
      <color theme="0"/>
      <name val="Arial"/>
      <family val="2"/>
    </font>
    <font>
      <b/>
      <sz val="9"/>
      <color theme="0"/>
      <name val="Arial"/>
      <family val="2"/>
    </font>
    <font>
      <sz val="9"/>
      <color theme="1"/>
      <name val="Arial"/>
      <family val="2"/>
    </font>
    <font>
      <sz val="11"/>
      <name val="Arial"/>
      <family val="2"/>
    </font>
    <font>
      <sz val="8"/>
      <name val="Arial"/>
      <family val="2"/>
    </font>
    <font>
      <sz val="8"/>
      <color theme="1"/>
      <name val="Arial"/>
      <family val="2"/>
    </font>
    <font>
      <sz val="11"/>
      <color indexed="8"/>
      <name val="Arial"/>
      <family val="2"/>
    </font>
    <font>
      <b/>
      <sz val="11"/>
      <color theme="0"/>
      <name val="Arial"/>
      <family val="2"/>
    </font>
    <font>
      <sz val="11"/>
      <color rgb="FF404040"/>
      <name val="Arial"/>
      <family val="2"/>
    </font>
    <font>
      <sz val="11"/>
      <color theme="0"/>
      <name val="Arial"/>
      <family val="2"/>
    </font>
    <font>
      <u/>
      <sz val="11"/>
      <color theme="10"/>
      <name val="Calibri"/>
      <family val="2"/>
      <scheme val="minor"/>
    </font>
    <font>
      <sz val="12"/>
      <color theme="1"/>
      <name val="Arial"/>
      <family val="2"/>
    </font>
    <font>
      <b/>
      <sz val="10"/>
      <color theme="0"/>
      <name val="Arial"/>
      <family val="2"/>
    </font>
    <font>
      <sz val="22"/>
      <color theme="1"/>
      <name val="Arial"/>
      <family val="2"/>
    </font>
    <font>
      <sz val="10"/>
      <color theme="1"/>
      <name val="Arial"/>
      <family val="2"/>
    </font>
    <font>
      <u/>
      <sz val="11"/>
      <name val="Arial"/>
      <family val="2"/>
    </font>
    <font>
      <b/>
      <sz val="10"/>
      <color rgb="FF124444"/>
      <name val="Arial"/>
      <family val="2"/>
    </font>
    <font>
      <b/>
      <u/>
      <sz val="11"/>
      <color rgb="FF124444"/>
      <name val="Arial"/>
      <family val="2"/>
    </font>
    <font>
      <b/>
      <sz val="11"/>
      <color rgb="FF124444"/>
      <name val="Arial"/>
      <family val="2"/>
    </font>
    <font>
      <b/>
      <sz val="14"/>
      <color theme="1"/>
      <name val="Arial"/>
      <family val="2"/>
    </font>
    <font>
      <sz val="9"/>
      <name val="Arial"/>
      <family val="2"/>
    </font>
    <font>
      <sz val="14"/>
      <name val="Arial"/>
      <family val="2"/>
    </font>
    <font>
      <b/>
      <sz val="12"/>
      <color theme="1"/>
      <name val="Arial"/>
      <family val="2"/>
    </font>
    <font>
      <b/>
      <sz val="10"/>
      <color theme="1"/>
      <name val="Arial"/>
      <family val="2"/>
    </font>
    <font>
      <b/>
      <sz val="12"/>
      <name val="Arial"/>
      <family val="2"/>
    </font>
    <font>
      <b/>
      <sz val="11"/>
      <color theme="1"/>
      <name val="Arial"/>
      <family val="2"/>
    </font>
    <font>
      <sz val="26"/>
      <color theme="1"/>
      <name val="Georgia"/>
      <family val="1"/>
    </font>
    <font>
      <sz val="24"/>
      <color theme="1"/>
      <name val="Arial"/>
      <family val="2"/>
    </font>
    <font>
      <sz val="14"/>
      <color theme="1"/>
      <name val="Georgia"/>
      <family val="1"/>
    </font>
    <font>
      <u/>
      <sz val="12"/>
      <color rgb="FF124444"/>
      <name val="Arial"/>
      <family val="2"/>
    </font>
    <font>
      <b/>
      <sz val="11"/>
      <color theme="3"/>
      <name val="Arial"/>
      <family val="2"/>
    </font>
    <font>
      <b/>
      <sz val="11"/>
      <color theme="3"/>
      <name val="Arial Narrow"/>
      <family val="2"/>
    </font>
    <font>
      <sz val="10"/>
      <color theme="1"/>
      <name val="Arial Narrow"/>
      <family val="2"/>
    </font>
    <font>
      <sz val="8"/>
      <name val="Calibri"/>
      <family val="2"/>
      <scheme val="minor"/>
    </font>
    <font>
      <b/>
      <sz val="12"/>
      <color rgb="FF124444"/>
      <name val="Arial"/>
      <family val="2"/>
    </font>
  </fonts>
  <fills count="15">
    <fill>
      <patternFill patternType="none"/>
    </fill>
    <fill>
      <patternFill patternType="gray125"/>
    </fill>
    <fill>
      <patternFill patternType="solid">
        <fgColor rgb="FFF2F2F2"/>
      </patternFill>
    </fill>
    <fill>
      <patternFill patternType="solid">
        <fgColor rgb="FFFFFFCC"/>
      </patternFill>
    </fill>
    <fill>
      <patternFill patternType="solid">
        <fgColor theme="0"/>
        <bgColor indexed="64"/>
      </patternFill>
    </fill>
    <fill>
      <patternFill patternType="solid">
        <fgColor rgb="FF124444"/>
        <bgColor indexed="64"/>
      </patternFill>
    </fill>
    <fill>
      <patternFill patternType="solid">
        <fgColor rgb="FFEF7700"/>
        <bgColor indexed="64"/>
      </patternFill>
    </fill>
    <fill>
      <patternFill patternType="solid">
        <fgColor rgb="FFFDF1E5"/>
        <bgColor indexed="64"/>
      </patternFill>
    </fill>
    <fill>
      <patternFill patternType="solid">
        <fgColor rgb="FFF5F2EF"/>
        <bgColor indexed="64"/>
      </patternFill>
    </fill>
    <fill>
      <patternFill patternType="solid">
        <fgColor theme="0" tint="-0.14999847407452621"/>
        <bgColor indexed="64"/>
      </patternFill>
    </fill>
    <fill>
      <patternFill patternType="solid">
        <fgColor rgb="FFED7700"/>
        <bgColor indexed="64"/>
      </patternFill>
    </fill>
    <fill>
      <patternFill patternType="solid">
        <fgColor rgb="FFD0DADA"/>
        <bgColor indexed="64"/>
      </patternFill>
    </fill>
    <fill>
      <patternFill patternType="solid">
        <fgColor rgb="FFE7ECEC"/>
        <bgColor indexed="64"/>
      </patternFill>
    </fill>
    <fill>
      <patternFill patternType="solid">
        <fgColor rgb="FFFFC000"/>
        <bgColor indexed="64"/>
      </patternFill>
    </fill>
    <fill>
      <patternFill patternType="solid">
        <fgColor theme="5" tint="0.59999389629810485"/>
        <bgColor indexed="64"/>
      </patternFill>
    </fill>
  </fills>
  <borders count="69">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style="thin">
        <color theme="0"/>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indexed="64"/>
      </top>
      <bottom style="thin">
        <color indexed="64"/>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bottom style="thin">
        <color rgb="FFCCCED2"/>
      </bottom>
      <diagonal/>
    </border>
    <border>
      <left style="thin">
        <color auto="1"/>
      </left>
      <right/>
      <top style="thin">
        <color auto="1"/>
      </top>
      <bottom style="thin">
        <color rgb="FFCCCED2"/>
      </bottom>
      <diagonal/>
    </border>
    <border>
      <left/>
      <right/>
      <top style="thin">
        <color auto="1"/>
      </top>
      <bottom style="thin">
        <color rgb="FFCCCED2"/>
      </bottom>
      <diagonal/>
    </border>
    <border>
      <left/>
      <right style="thin">
        <color auto="1"/>
      </right>
      <top style="thin">
        <color auto="1"/>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auto="1"/>
      </left>
      <right/>
      <top/>
      <bottom style="thin">
        <color auto="1"/>
      </bottom>
      <diagonal/>
    </border>
    <border>
      <left/>
      <right style="thin">
        <color theme="0" tint="-0.14999847407452621"/>
      </right>
      <top/>
      <bottom style="thin">
        <color auto="1"/>
      </bottom>
      <diagonal/>
    </border>
    <border>
      <left style="thin">
        <color theme="0" tint="-0.14999847407452621"/>
      </left>
      <right/>
      <top/>
      <bottom style="thin">
        <color auto="1"/>
      </bottom>
      <diagonal/>
    </border>
    <border>
      <left style="thin">
        <color theme="0" tint="-0.14999847407452621"/>
      </left>
      <right style="thin">
        <color auto="1"/>
      </right>
      <top/>
      <bottom style="thin">
        <color auto="1"/>
      </bottom>
      <diagonal/>
    </border>
    <border>
      <left/>
      <right/>
      <top/>
      <bottom style="thin">
        <color theme="0" tint="-0.1499984740745262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right>
      <top/>
      <bottom/>
      <diagonal/>
    </border>
    <border>
      <left style="thin">
        <color theme="0" tint="-0.14999847407452621"/>
      </left>
      <right style="thin">
        <color theme="0" tint="-0.14999847407452621"/>
      </right>
      <top/>
      <bottom style="thin">
        <color theme="0" tint="-0.14999847407452621"/>
      </bottom>
      <diagonal/>
    </border>
    <border>
      <left style="thin">
        <color rgb="FF124444"/>
      </left>
      <right/>
      <top style="thin">
        <color rgb="FF124444"/>
      </top>
      <bottom/>
      <diagonal/>
    </border>
    <border>
      <left/>
      <right/>
      <top style="thin">
        <color rgb="FF124444"/>
      </top>
      <bottom/>
      <diagonal/>
    </border>
    <border>
      <left/>
      <right style="thin">
        <color rgb="FF124444"/>
      </right>
      <top style="thin">
        <color rgb="FF124444"/>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64"/>
      </left>
      <right/>
      <top style="thin">
        <color indexed="64"/>
      </top>
      <bottom/>
      <diagonal/>
    </border>
    <border>
      <left/>
      <right/>
      <top style="thin">
        <color auto="1"/>
      </top>
      <bottom/>
      <diagonal/>
    </border>
    <border>
      <left style="thin">
        <color rgb="FF124444"/>
      </left>
      <right/>
      <top/>
      <bottom/>
      <diagonal/>
    </border>
    <border>
      <left style="thin">
        <color rgb="FF124444"/>
      </left>
      <right style="thin">
        <color indexed="64"/>
      </right>
      <top/>
      <bottom/>
      <diagonal/>
    </border>
    <border>
      <left style="thin">
        <color indexed="64"/>
      </left>
      <right/>
      <top/>
      <bottom/>
      <diagonal/>
    </border>
    <border>
      <left/>
      <right style="thin">
        <color indexed="64"/>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rgb="FF12444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n">
        <color theme="0"/>
      </bottom>
      <diagonal/>
    </border>
    <border>
      <left style="thin">
        <color theme="0"/>
      </left>
      <right style="thin">
        <color rgb="FF72213D"/>
      </right>
      <top style="thin">
        <color theme="0"/>
      </top>
      <bottom/>
      <diagonal/>
    </border>
    <border>
      <left/>
      <right/>
      <top/>
      <bottom style="thin">
        <color theme="6" tint="0.59999389629810485"/>
      </bottom>
      <diagonal/>
    </border>
    <border>
      <left/>
      <right style="thin">
        <color theme="6" tint="0.59999389629810485"/>
      </right>
      <top style="thin">
        <color theme="6" tint="0.59999389629810485"/>
      </top>
      <bottom style="thin">
        <color theme="6" tint="0.59999389629810485"/>
      </bottom>
      <diagonal/>
    </border>
    <border>
      <left style="thin">
        <color theme="6" tint="0.59999389629810485"/>
      </left>
      <right/>
      <top style="thin">
        <color theme="6" tint="0.59999389629810485"/>
      </top>
      <bottom style="thin">
        <color theme="6" tint="0.59999389629810485"/>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theme="0"/>
      </left>
      <right/>
      <top/>
      <bottom style="thin">
        <color theme="0" tint="-0.14999847407452621"/>
      </bottom>
      <diagonal/>
    </border>
    <border>
      <left style="thin">
        <color theme="0" tint="-0.14999847407452621"/>
      </left>
      <right/>
      <top style="thin">
        <color theme="0" tint="-0.14999847407452621"/>
      </top>
      <bottom/>
      <diagonal/>
    </border>
    <border>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
      <left/>
      <right style="thin">
        <color rgb="FF124444"/>
      </right>
      <top/>
      <bottom/>
      <diagonal/>
    </border>
    <border>
      <left style="thin">
        <color rgb="FF124444"/>
      </left>
      <right/>
      <top/>
      <bottom style="thin">
        <color rgb="FF124444"/>
      </bottom>
      <diagonal/>
    </border>
    <border>
      <left/>
      <right/>
      <top/>
      <bottom style="thin">
        <color rgb="FF124444"/>
      </bottom>
      <diagonal/>
    </border>
    <border>
      <left/>
      <right style="thin">
        <color rgb="FF124444"/>
      </right>
      <top/>
      <bottom style="thin">
        <color rgb="FF124444"/>
      </bottom>
      <diagonal/>
    </border>
    <border>
      <left style="thin">
        <color rgb="FFFDF1E5"/>
      </left>
      <right/>
      <top style="thin">
        <color rgb="FFFDF1E5"/>
      </top>
      <bottom/>
      <diagonal/>
    </border>
    <border>
      <left/>
      <right/>
      <top style="thin">
        <color rgb="FFFDF1E5"/>
      </top>
      <bottom/>
      <diagonal/>
    </border>
    <border>
      <left/>
      <right style="thin">
        <color rgb="FFFDF1E5"/>
      </right>
      <top style="thin">
        <color rgb="FFFDF1E5"/>
      </top>
      <bottom/>
      <diagonal/>
    </border>
    <border>
      <left style="thin">
        <color rgb="FFFDF1E5"/>
      </left>
      <right/>
      <top/>
      <bottom style="thin">
        <color rgb="FFFDF1E5"/>
      </bottom>
      <diagonal/>
    </border>
    <border>
      <left/>
      <right/>
      <top/>
      <bottom style="thin">
        <color rgb="FFFDF1E5"/>
      </bottom>
      <diagonal/>
    </border>
    <border>
      <left/>
      <right style="thin">
        <color rgb="FFFDF1E5"/>
      </right>
      <top/>
      <bottom style="thin">
        <color rgb="FFFDF1E5"/>
      </bottom>
      <diagonal/>
    </border>
    <border>
      <left style="thin">
        <color indexed="64"/>
      </left>
      <right style="thin">
        <color indexed="64"/>
      </right>
      <top style="thin">
        <color indexed="64"/>
      </top>
      <bottom style="thin">
        <color indexed="64"/>
      </bottom>
      <diagonal/>
    </border>
    <border>
      <left style="thin">
        <color rgb="FFB2B2B2"/>
      </left>
      <right/>
      <top style="thin">
        <color rgb="FFB2B2B2"/>
      </top>
      <bottom style="thin">
        <color rgb="FFB2B2B2"/>
      </bottom>
      <diagonal/>
    </border>
  </borders>
  <cellStyleXfs count="6">
    <xf numFmtId="0" fontId="0" fillId="0" borderId="0"/>
    <xf numFmtId="9" fontId="1" fillId="0" borderId="0" applyFont="0" applyFill="0" applyBorder="0" applyAlignment="0" applyProtection="0"/>
    <xf numFmtId="0" fontId="2" fillId="2" borderId="1" applyNumberFormat="0" applyAlignment="0" applyProtection="0"/>
    <xf numFmtId="0" fontId="1" fillId="3" borderId="2" applyNumberFormat="0" applyFont="0" applyAlignment="0" applyProtection="0"/>
    <xf numFmtId="0" fontId="19" fillId="0" borderId="0" applyNumberFormat="0" applyFill="0" applyBorder="0" applyAlignment="0" applyProtection="0"/>
    <xf numFmtId="166" fontId="1" fillId="0" borderId="0" applyFont="0" applyFill="0" applyBorder="0" applyAlignment="0" applyProtection="0"/>
  </cellStyleXfs>
  <cellXfs count="207">
    <xf numFmtId="0" fontId="0" fillId="0" borderId="0" xfId="0"/>
    <xf numFmtId="0" fontId="3" fillId="4" borderId="0" xfId="0" applyFont="1" applyFill="1" applyAlignment="1">
      <alignment vertical="center"/>
    </xf>
    <xf numFmtId="0" fontId="3" fillId="4" borderId="0" xfId="0" applyFont="1" applyFill="1"/>
    <xf numFmtId="0" fontId="8" fillId="4" borderId="0" xfId="0" applyFont="1" applyFill="1" applyAlignment="1">
      <alignment vertical="top" wrapText="1"/>
    </xf>
    <xf numFmtId="0" fontId="3" fillId="0" borderId="0" xfId="0" applyFont="1"/>
    <xf numFmtId="0" fontId="9" fillId="5" borderId="3" xfId="0" applyFont="1" applyFill="1" applyBorder="1" applyAlignment="1">
      <alignment vertical="center" wrapText="1"/>
    </xf>
    <xf numFmtId="0" fontId="10" fillId="5" borderId="3" xfId="0" applyFont="1" applyFill="1" applyBorder="1" applyAlignment="1">
      <alignment vertical="center"/>
    </xf>
    <xf numFmtId="0" fontId="9" fillId="5" borderId="3" xfId="0" applyFont="1" applyFill="1" applyBorder="1" applyAlignment="1">
      <alignment vertical="center"/>
    </xf>
    <xf numFmtId="0" fontId="10" fillId="5" borderId="3" xfId="0" applyFont="1" applyFill="1" applyBorder="1" applyAlignment="1">
      <alignment vertical="center" wrapText="1"/>
    </xf>
    <xf numFmtId="0" fontId="9" fillId="5" borderId="4" xfId="0" applyFont="1" applyFill="1" applyBorder="1" applyAlignment="1">
      <alignment vertical="center" wrapText="1"/>
    </xf>
    <xf numFmtId="0" fontId="9" fillId="5" borderId="3" xfId="0" applyFont="1" applyFill="1" applyBorder="1" applyAlignment="1">
      <alignment horizontal="left" vertical="center" wrapText="1"/>
    </xf>
    <xf numFmtId="0" fontId="11" fillId="0" borderId="0" xfId="0" applyFont="1"/>
    <xf numFmtId="0" fontId="11" fillId="6" borderId="5" xfId="0" applyFont="1" applyFill="1" applyBorder="1" applyAlignment="1">
      <alignment horizontal="left" vertical="center" wrapText="1"/>
    </xf>
    <xf numFmtId="0" fontId="13" fillId="7" borderId="7" xfId="0" applyFont="1" applyFill="1" applyBorder="1" applyAlignment="1">
      <alignment horizontal="center" vertical="center" wrapText="1"/>
    </xf>
    <xf numFmtId="0" fontId="12" fillId="7" borderId="6" xfId="0" applyFont="1" applyFill="1" applyBorder="1" applyAlignment="1">
      <alignment vertical="center" wrapText="1"/>
    </xf>
    <xf numFmtId="49" fontId="14" fillId="0" borderId="6" xfId="0" applyNumberFormat="1" applyFont="1" applyBorder="1" applyAlignment="1" applyProtection="1">
      <alignment vertical="center"/>
      <protection locked="0"/>
    </xf>
    <xf numFmtId="49" fontId="14" fillId="0" borderId="6" xfId="0" applyNumberFormat="1" applyFont="1" applyBorder="1" applyAlignment="1" applyProtection="1">
      <alignment horizontal="left" vertical="center" wrapText="1" readingOrder="1"/>
      <protection locked="0"/>
    </xf>
    <xf numFmtId="0" fontId="14" fillId="0" borderId="6" xfId="0" applyFont="1" applyBorder="1" applyAlignment="1" applyProtection="1">
      <alignment horizontal="center" vertical="center"/>
      <protection locked="0"/>
    </xf>
    <xf numFmtId="164" fontId="14" fillId="0" borderId="6" xfId="0" applyNumberFormat="1" applyFont="1" applyBorder="1" applyAlignment="1" applyProtection="1">
      <alignment horizontal="right" vertical="center"/>
      <protection locked="0"/>
    </xf>
    <xf numFmtId="164" fontId="14" fillId="0" borderId="6" xfId="0" applyNumberFormat="1" applyFont="1" applyBorder="1" applyAlignment="1" applyProtection="1">
      <alignment vertical="center"/>
      <protection locked="0"/>
    </xf>
    <xf numFmtId="167" fontId="14" fillId="9" borderId="0" xfId="0" applyNumberFormat="1" applyFont="1" applyFill="1" applyAlignment="1" applyProtection="1">
      <alignment horizontal="center" vertical="center"/>
      <protection locked="0"/>
    </xf>
    <xf numFmtId="165" fontId="14" fillId="0" borderId="6" xfId="0" applyNumberFormat="1" applyFont="1" applyBorder="1" applyAlignment="1" applyProtection="1">
      <alignment vertical="center"/>
      <protection locked="0"/>
    </xf>
    <xf numFmtId="0" fontId="13" fillId="0" borderId="6" xfId="0" applyFont="1" applyBorder="1" applyAlignment="1">
      <alignment horizontal="left" vertical="top" wrapText="1" readingOrder="1"/>
    </xf>
    <xf numFmtId="49" fontId="14" fillId="0" borderId="6" xfId="0" applyNumberFormat="1" applyFont="1" applyBorder="1" applyAlignment="1" applyProtection="1">
      <alignment horizontal="center" vertical="center"/>
      <protection locked="0"/>
    </xf>
    <xf numFmtId="0" fontId="13" fillId="0" borderId="6" xfId="0" applyFont="1" applyBorder="1" applyAlignment="1">
      <alignment horizontal="center" vertical="top" wrapText="1" readingOrder="1"/>
    </xf>
    <xf numFmtId="164" fontId="17" fillId="0" borderId="6" xfId="0" applyNumberFormat="1" applyFont="1" applyBorder="1" applyAlignment="1">
      <alignment horizontal="right" vertical="center"/>
    </xf>
    <xf numFmtId="0" fontId="18" fillId="5" borderId="4" xfId="0" applyFont="1" applyFill="1" applyBorder="1" applyAlignment="1">
      <alignment vertical="center" wrapText="1"/>
    </xf>
    <xf numFmtId="165" fontId="17" fillId="0" borderId="6" xfId="0" applyNumberFormat="1" applyFont="1" applyBorder="1" applyAlignment="1">
      <alignment horizontal="right" vertical="center"/>
    </xf>
    <xf numFmtId="0" fontId="15" fillId="10" borderId="6" xfId="0" applyFont="1" applyFill="1" applyBorder="1" applyAlignment="1">
      <alignment vertical="center"/>
    </xf>
    <xf numFmtId="49" fontId="3" fillId="0" borderId="0" xfId="0" applyNumberFormat="1" applyFont="1"/>
    <xf numFmtId="0" fontId="3" fillId="0" borderId="0" xfId="0" applyFont="1" applyAlignment="1">
      <alignment horizontal="center"/>
    </xf>
    <xf numFmtId="49" fontId="3" fillId="0" borderId="0" xfId="0" applyNumberFormat="1" applyFont="1" applyAlignment="1">
      <alignment horizontal="center"/>
    </xf>
    <xf numFmtId="0" fontId="3" fillId="0" borderId="0" xfId="0" applyFont="1" applyAlignment="1">
      <alignment horizontal="right"/>
    </xf>
    <xf numFmtId="0" fontId="11" fillId="0" borderId="0" xfId="0" applyFont="1" applyAlignment="1">
      <alignment horizontal="center" vertical="center"/>
    </xf>
    <xf numFmtId="0" fontId="11" fillId="0" borderId="0" xfId="0" applyFont="1" applyAlignment="1" applyProtection="1">
      <alignment horizontal="center" vertical="center"/>
      <protection locked="0"/>
    </xf>
    <xf numFmtId="9" fontId="20" fillId="0" borderId="0" xfId="1" applyFont="1" applyBorder="1" applyAlignment="1" applyProtection="1">
      <alignment vertical="center"/>
    </xf>
    <xf numFmtId="0" fontId="21" fillId="5" borderId="16" xfId="0" applyFont="1" applyFill="1" applyBorder="1" applyAlignment="1">
      <alignment horizontal="center" vertical="center" wrapText="1"/>
    </xf>
    <xf numFmtId="0" fontId="6" fillId="6" borderId="3" xfId="0" applyFont="1" applyFill="1" applyBorder="1" applyAlignment="1">
      <alignment horizontal="center" vertical="center" wrapText="1"/>
    </xf>
    <xf numFmtId="168" fontId="11" fillId="0" borderId="6" xfId="0" applyNumberFormat="1" applyFont="1" applyBorder="1" applyAlignment="1">
      <alignment horizontal="center" vertical="center"/>
    </xf>
    <xf numFmtId="0" fontId="22" fillId="0" borderId="0" xfId="0" applyFont="1" applyAlignment="1">
      <alignment vertical="center"/>
    </xf>
    <xf numFmtId="9" fontId="23" fillId="7" borderId="18" xfId="1" applyFont="1" applyFill="1" applyBorder="1" applyAlignment="1" applyProtection="1">
      <alignment horizontal="center" vertical="center"/>
    </xf>
    <xf numFmtId="10" fontId="23" fillId="7" borderId="18" xfId="1" applyNumberFormat="1" applyFont="1" applyFill="1" applyBorder="1" applyAlignment="1" applyProtection="1">
      <alignment horizontal="center" vertical="center"/>
    </xf>
    <xf numFmtId="168" fontId="11" fillId="0" borderId="24" xfId="0" applyNumberFormat="1" applyFont="1" applyBorder="1" applyAlignment="1">
      <alignment horizontal="center" vertical="center"/>
    </xf>
    <xf numFmtId="0" fontId="11" fillId="0" borderId="6" xfId="0" applyFont="1" applyBorder="1" applyAlignment="1">
      <alignment horizontal="center" vertical="center"/>
    </xf>
    <xf numFmtId="169" fontId="23" fillId="7" borderId="18" xfId="1" applyNumberFormat="1" applyFont="1" applyFill="1" applyBorder="1" applyAlignment="1" applyProtection="1">
      <alignment horizontal="center" vertical="center"/>
    </xf>
    <xf numFmtId="0" fontId="6" fillId="0" borderId="0" xfId="0" applyFont="1" applyAlignment="1">
      <alignment vertical="center"/>
    </xf>
    <xf numFmtId="0" fontId="6" fillId="0" borderId="25" xfId="0" applyFont="1" applyBorder="1" applyAlignment="1">
      <alignment vertical="center"/>
    </xf>
    <xf numFmtId="9" fontId="23" fillId="7" borderId="26" xfId="0" applyNumberFormat="1" applyFont="1" applyFill="1" applyBorder="1" applyAlignment="1">
      <alignment horizontal="center" vertical="center"/>
    </xf>
    <xf numFmtId="164" fontId="23" fillId="7" borderId="18" xfId="0" applyNumberFormat="1" applyFont="1" applyFill="1" applyBorder="1" applyAlignment="1">
      <alignment horizontal="center" vertical="center"/>
    </xf>
    <xf numFmtId="0" fontId="24" fillId="0" borderId="0" xfId="4" applyFont="1" applyAlignment="1">
      <alignment vertical="center"/>
    </xf>
    <xf numFmtId="9" fontId="23" fillId="7" borderId="18" xfId="0" applyNumberFormat="1" applyFont="1" applyFill="1" applyBorder="1" applyAlignment="1">
      <alignment horizontal="center" vertical="center"/>
    </xf>
    <xf numFmtId="10" fontId="25" fillId="12" borderId="34" xfId="0" applyNumberFormat="1" applyFont="1" applyFill="1" applyBorder="1" applyAlignment="1" applyProtection="1">
      <alignment horizontal="center" vertical="center"/>
      <protection locked="0"/>
    </xf>
    <xf numFmtId="0" fontId="25" fillId="12" borderId="0" xfId="0" applyFont="1" applyFill="1" applyAlignment="1">
      <alignment horizontal="center" vertical="center" wrapText="1"/>
    </xf>
    <xf numFmtId="10" fontId="25" fillId="12" borderId="35" xfId="0" applyNumberFormat="1" applyFont="1" applyFill="1" applyBorder="1" applyAlignment="1" applyProtection="1">
      <alignment horizontal="center" vertical="center"/>
      <protection locked="0"/>
    </xf>
    <xf numFmtId="10" fontId="28" fillId="0" borderId="30" xfId="0" applyNumberFormat="1" applyFont="1" applyBorder="1" applyAlignment="1" applyProtection="1">
      <alignment horizontal="center" vertical="center"/>
      <protection locked="0"/>
    </xf>
    <xf numFmtId="10" fontId="28" fillId="0" borderId="7" xfId="0" applyNumberFormat="1" applyFont="1" applyBorder="1" applyAlignment="1" applyProtection="1">
      <alignment horizontal="center" vertical="center"/>
      <protection locked="0"/>
    </xf>
    <xf numFmtId="10" fontId="28" fillId="0" borderId="41" xfId="0" applyNumberFormat="1" applyFont="1" applyBorder="1" applyAlignment="1" applyProtection="1">
      <alignment horizontal="center" vertical="center"/>
      <protection locked="0"/>
    </xf>
    <xf numFmtId="10" fontId="11" fillId="13" borderId="0" xfId="0" applyNumberFormat="1" applyFont="1" applyFill="1" applyAlignment="1">
      <alignment horizontal="center" vertical="center"/>
    </xf>
    <xf numFmtId="9" fontId="11" fillId="13" borderId="0" xfId="0" applyNumberFormat="1" applyFont="1" applyFill="1" applyAlignment="1">
      <alignment horizontal="center" vertical="center"/>
    </xf>
    <xf numFmtId="0" fontId="11" fillId="13" borderId="0" xfId="0" applyFont="1" applyFill="1" applyAlignment="1">
      <alignment horizontal="center" vertical="center"/>
    </xf>
    <xf numFmtId="0" fontId="0" fillId="0" borderId="44" xfId="0" applyBorder="1"/>
    <xf numFmtId="9" fontId="11" fillId="0" borderId="0" xfId="0" applyNumberFormat="1" applyFont="1" applyAlignment="1">
      <alignment horizontal="center" vertical="center"/>
    </xf>
    <xf numFmtId="10" fontId="11" fillId="0" borderId="0" xfId="0" applyNumberFormat="1" applyFont="1" applyAlignment="1">
      <alignment horizontal="center" vertical="center"/>
    </xf>
    <xf numFmtId="0" fontId="29" fillId="0" borderId="0" xfId="0" applyFont="1" applyAlignment="1">
      <alignment horizontal="center" vertical="center" wrapText="1"/>
    </xf>
    <xf numFmtId="0" fontId="21" fillId="5" borderId="3" xfId="0" applyFont="1" applyFill="1" applyBorder="1" applyAlignment="1" applyProtection="1">
      <alignment horizontal="center" vertical="center" wrapText="1"/>
      <protection locked="0"/>
    </xf>
    <xf numFmtId="0" fontId="21" fillId="5" borderId="40" xfId="0" applyFont="1" applyFill="1" applyBorder="1" applyAlignment="1" applyProtection="1">
      <alignment horizontal="center" vertical="center" wrapText="1"/>
      <protection locked="0"/>
    </xf>
    <xf numFmtId="0" fontId="6" fillId="0" borderId="0" xfId="0" applyFont="1" applyAlignment="1">
      <alignment horizontal="center" wrapText="1"/>
    </xf>
    <xf numFmtId="0" fontId="21" fillId="5" borderId="39"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21" fillId="5" borderId="38" xfId="0" applyFont="1" applyFill="1" applyBorder="1" applyAlignment="1" applyProtection="1">
      <alignment horizontal="center" vertical="center" wrapText="1"/>
      <protection locked="0"/>
    </xf>
    <xf numFmtId="0" fontId="21" fillId="5" borderId="45" xfId="0" applyFont="1" applyFill="1" applyBorder="1" applyAlignment="1" applyProtection="1">
      <alignment horizontal="center" vertical="center" wrapText="1"/>
      <protection locked="0"/>
    </xf>
    <xf numFmtId="0" fontId="12" fillId="0" borderId="0" xfId="0" applyFont="1" applyAlignment="1">
      <alignment wrapText="1"/>
    </xf>
    <xf numFmtId="0" fontId="12" fillId="0" borderId="4" xfId="0" applyFont="1" applyBorder="1"/>
    <xf numFmtId="0" fontId="12" fillId="0" borderId="0" xfId="0" applyFont="1"/>
    <xf numFmtId="0" fontId="30" fillId="0" borderId="0" xfId="0" applyFont="1" applyAlignment="1">
      <alignment vertical="center" wrapText="1"/>
    </xf>
    <xf numFmtId="0" fontId="20" fillId="0" borderId="0" xfId="0" applyFont="1" applyAlignment="1">
      <alignment horizontal="center" vertical="center"/>
    </xf>
    <xf numFmtId="0" fontId="31" fillId="0" borderId="0" xfId="0" applyFont="1" applyAlignment="1">
      <alignment horizontal="center" vertical="center"/>
    </xf>
    <xf numFmtId="168" fontId="11" fillId="0" borderId="0" xfId="0" applyNumberFormat="1" applyFont="1" applyAlignment="1">
      <alignment horizontal="center" vertical="center"/>
    </xf>
    <xf numFmtId="0" fontId="33" fillId="11" borderId="0" xfId="0" applyFont="1" applyFill="1" applyAlignment="1">
      <alignment vertical="center"/>
    </xf>
    <xf numFmtId="0" fontId="20" fillId="0" borderId="46" xfId="0" applyFont="1" applyBorder="1" applyAlignment="1">
      <alignment horizontal="center" vertical="center"/>
    </xf>
    <xf numFmtId="0" fontId="7" fillId="7" borderId="18" xfId="0" applyFont="1" applyFill="1" applyBorder="1" applyAlignment="1">
      <alignment horizontal="center" vertical="center"/>
    </xf>
    <xf numFmtId="0" fontId="7" fillId="8" borderId="18" xfId="0" applyFont="1" applyFill="1" applyBorder="1" applyAlignment="1">
      <alignment horizontal="center" vertical="center"/>
    </xf>
    <xf numFmtId="14" fontId="7" fillId="0" borderId="18" xfId="0" applyNumberFormat="1" applyFont="1" applyBorder="1" applyAlignment="1" applyProtection="1">
      <alignment horizontal="center" vertical="center"/>
      <protection locked="0"/>
    </xf>
    <xf numFmtId="168" fontId="7" fillId="7" borderId="18" xfId="0" applyNumberFormat="1" applyFont="1" applyFill="1" applyBorder="1" applyAlignment="1">
      <alignment horizontal="center" vertical="center"/>
    </xf>
    <xf numFmtId="170" fontId="7" fillId="7" borderId="18" xfId="5" applyNumberFormat="1" applyFont="1" applyFill="1" applyBorder="1" applyAlignment="1" applyProtection="1">
      <alignment horizontal="center" vertical="center"/>
    </xf>
    <xf numFmtId="171" fontId="7" fillId="7" borderId="18" xfId="5" applyNumberFormat="1" applyFont="1" applyFill="1" applyBorder="1" applyAlignment="1" applyProtection="1">
      <alignment horizontal="center" vertical="center"/>
    </xf>
    <xf numFmtId="9" fontId="7" fillId="7" borderId="18" xfId="1" applyFont="1" applyFill="1" applyBorder="1" applyAlignment="1" applyProtection="1">
      <alignment horizontal="center" vertical="center"/>
    </xf>
    <xf numFmtId="0" fontId="23" fillId="7" borderId="18" xfId="0" applyFont="1" applyFill="1" applyBorder="1" applyAlignment="1">
      <alignment horizontal="center" vertical="center"/>
    </xf>
    <xf numFmtId="168" fontId="23" fillId="7" borderId="18" xfId="0" applyNumberFormat="1" applyFont="1" applyFill="1" applyBorder="1" applyAlignment="1">
      <alignment horizontal="center" vertical="center" wrapText="1"/>
    </xf>
    <xf numFmtId="168" fontId="6" fillId="4" borderId="47" xfId="0" applyNumberFormat="1" applyFont="1" applyFill="1" applyBorder="1" applyAlignment="1" applyProtection="1">
      <alignment horizontal="center" vertical="center"/>
      <protection locked="0"/>
    </xf>
    <xf numFmtId="0" fontId="23" fillId="0" borderId="0" xfId="0" applyFont="1" applyAlignment="1">
      <alignment horizontal="center" vertical="center"/>
    </xf>
    <xf numFmtId="0" fontId="7" fillId="0" borderId="48" xfId="1" applyNumberFormat="1" applyFont="1" applyFill="1" applyBorder="1" applyAlignment="1" applyProtection="1">
      <alignment horizontal="center" vertical="center"/>
      <protection locked="0"/>
    </xf>
    <xf numFmtId="0" fontId="23" fillId="0" borderId="0" xfId="0" applyFont="1"/>
    <xf numFmtId="10" fontId="7" fillId="7" borderId="18" xfId="1" applyNumberFormat="1" applyFont="1" applyFill="1" applyBorder="1" applyAlignment="1" applyProtection="1">
      <alignment horizontal="center" vertical="center"/>
    </xf>
    <xf numFmtId="168" fontId="7" fillId="8" borderId="18" xfId="1" applyNumberFormat="1" applyFont="1" applyFill="1" applyBorder="1" applyAlignment="1" applyProtection="1">
      <alignment horizontal="center" vertical="center"/>
    </xf>
    <xf numFmtId="9" fontId="7" fillId="8" borderId="18" xfId="1" applyFont="1" applyFill="1" applyBorder="1" applyAlignment="1" applyProtection="1">
      <alignment horizontal="center" vertical="center"/>
    </xf>
    <xf numFmtId="9" fontId="11" fillId="0" borderId="24" xfId="0" applyNumberFormat="1" applyFont="1" applyBorder="1" applyAlignment="1">
      <alignment horizontal="center" vertical="center"/>
    </xf>
    <xf numFmtId="0" fontId="11" fillId="0" borderId="24" xfId="0" applyFont="1" applyBorder="1" applyAlignment="1">
      <alignment horizontal="center" vertical="center"/>
    </xf>
    <xf numFmtId="10" fontId="11" fillId="0" borderId="24" xfId="0" applyNumberFormat="1" applyFont="1" applyBorder="1" applyAlignment="1">
      <alignment horizontal="center" vertical="center"/>
    </xf>
    <xf numFmtId="168" fontId="6" fillId="4" borderId="49" xfId="0" applyNumberFormat="1" applyFont="1" applyFill="1" applyBorder="1" applyAlignment="1" applyProtection="1">
      <alignment horizontal="center" vertical="center"/>
      <protection locked="0"/>
    </xf>
    <xf numFmtId="0" fontId="7" fillId="0" borderId="50" xfId="1" applyNumberFormat="1" applyFont="1" applyFill="1" applyBorder="1" applyAlignment="1" applyProtection="1">
      <alignment horizontal="center" vertical="center"/>
      <protection locked="0"/>
    </xf>
    <xf numFmtId="168" fontId="7" fillId="7" borderId="18" xfId="1" applyNumberFormat="1" applyFont="1" applyFill="1" applyBorder="1" applyAlignment="1" applyProtection="1">
      <alignment horizontal="center" vertical="center"/>
    </xf>
    <xf numFmtId="0" fontId="21" fillId="5" borderId="4" xfId="0" applyFont="1" applyFill="1" applyBorder="1" applyAlignment="1">
      <alignment horizontal="center" vertical="center" wrapText="1"/>
    </xf>
    <xf numFmtId="0" fontId="6" fillId="0" borderId="0" xfId="0" applyFont="1" applyAlignment="1">
      <alignment horizontal="center" vertical="center"/>
    </xf>
    <xf numFmtId="0" fontId="23" fillId="0" borderId="18" xfId="0" applyFont="1" applyBorder="1" applyAlignment="1">
      <alignment horizontal="center" vertical="center" wrapText="1"/>
    </xf>
    <xf numFmtId="0" fontId="26" fillId="0" borderId="0" xfId="4" applyFont="1" applyBorder="1" applyProtection="1"/>
    <xf numFmtId="0" fontId="39" fillId="0" borderId="0" xfId="0" applyFont="1" applyAlignment="1">
      <alignment vertical="center"/>
    </xf>
    <xf numFmtId="0" fontId="3" fillId="3" borderId="67" xfId="3" applyFont="1" applyBorder="1" applyProtection="1"/>
    <xf numFmtId="0" fontId="40" fillId="0" borderId="0" xfId="0" applyFont="1" applyAlignment="1">
      <alignment horizontal="center" vertical="center"/>
    </xf>
    <xf numFmtId="0" fontId="0" fillId="0" borderId="0" xfId="0" applyAlignment="1">
      <alignment horizontal="center" vertical="center"/>
    </xf>
    <xf numFmtId="0" fontId="3" fillId="3" borderId="67" xfId="3" applyFont="1" applyBorder="1" applyProtection="1">
      <protection locked="0"/>
    </xf>
    <xf numFmtId="9" fontId="3" fillId="0" borderId="67" xfId="0" applyNumberFormat="1" applyFont="1" applyBorder="1"/>
    <xf numFmtId="164" fontId="3" fillId="0" borderId="67" xfId="0" applyNumberFormat="1" applyFont="1" applyBorder="1"/>
    <xf numFmtId="0" fontId="3" fillId="0" borderId="67" xfId="0" applyFont="1" applyBorder="1"/>
    <xf numFmtId="168" fontId="3" fillId="0" borderId="67" xfId="0" applyNumberFormat="1" applyFont="1" applyBorder="1"/>
    <xf numFmtId="0" fontId="2" fillId="2" borderId="1" xfId="2" applyAlignment="1" applyProtection="1">
      <alignment horizontal="center" vertical="center"/>
    </xf>
    <xf numFmtId="0" fontId="41" fillId="14" borderId="67" xfId="0" applyFont="1" applyFill="1" applyBorder="1" applyAlignment="1">
      <alignment horizontal="center" vertical="center" wrapText="1"/>
    </xf>
    <xf numFmtId="0" fontId="0" fillId="3" borderId="68" xfId="3" applyFont="1" applyBorder="1" applyAlignment="1" applyProtection="1">
      <alignment horizontal="center" vertical="center"/>
    </xf>
    <xf numFmtId="0" fontId="0" fillId="0" borderId="67" xfId="0" applyBorder="1" applyAlignment="1">
      <alignment horizontal="center" vertical="center"/>
    </xf>
    <xf numFmtId="0" fontId="0" fillId="0" borderId="67" xfId="0" applyBorder="1" applyAlignment="1">
      <alignment horizontal="center" vertical="center" wrapText="1"/>
    </xf>
    <xf numFmtId="168" fontId="3" fillId="0" borderId="67" xfId="0" applyNumberFormat="1" applyFont="1" applyBorder="1" applyAlignment="1">
      <alignment horizontal="center" vertical="center"/>
    </xf>
    <xf numFmtId="0" fontId="3" fillId="0" borderId="67" xfId="0" applyFont="1" applyBorder="1" applyAlignment="1">
      <alignment horizontal="center" vertical="center"/>
    </xf>
    <xf numFmtId="9" fontId="3" fillId="0" borderId="67" xfId="0" applyNumberFormat="1" applyFont="1" applyBorder="1" applyAlignment="1" applyProtection="1">
      <alignment horizontal="center" vertical="center"/>
      <protection locked="0"/>
    </xf>
    <xf numFmtId="10" fontId="3" fillId="0" borderId="67" xfId="0" applyNumberFormat="1" applyFont="1" applyBorder="1" applyAlignment="1" applyProtection="1">
      <alignment horizontal="center" vertical="center"/>
      <protection locked="0"/>
    </xf>
    <xf numFmtId="9" fontId="3" fillId="0" borderId="67" xfId="1" applyFont="1" applyBorder="1" applyAlignment="1" applyProtection="1">
      <alignment horizontal="center" vertical="center"/>
    </xf>
    <xf numFmtId="10" fontId="3" fillId="0" borderId="67" xfId="1" applyNumberFormat="1" applyFont="1" applyBorder="1" applyAlignment="1" applyProtection="1">
      <alignment horizontal="center" vertical="center"/>
    </xf>
    <xf numFmtId="0" fontId="3" fillId="0" borderId="30" xfId="0" applyFont="1" applyBorder="1"/>
    <xf numFmtId="0" fontId="6" fillId="6" borderId="67" xfId="0" applyFont="1" applyFill="1" applyBorder="1" applyAlignment="1">
      <alignment horizontal="center" vertical="center" wrapText="1"/>
    </xf>
    <xf numFmtId="168" fontId="23" fillId="7" borderId="22" xfId="0" applyNumberFormat="1" applyFont="1" applyFill="1" applyBorder="1" applyAlignment="1">
      <alignment horizontal="center" vertical="center"/>
    </xf>
    <xf numFmtId="0" fontId="37" fillId="0" borderId="0" xfId="0" applyFont="1" applyAlignment="1" applyProtection="1">
      <alignment horizontal="left" vertical="top" indent="2"/>
      <protection locked="0"/>
    </xf>
    <xf numFmtId="0" fontId="38" fillId="0" borderId="0" xfId="4" applyFont="1" applyAlignment="1" applyProtection="1">
      <alignment horizontal="left" vertical="top"/>
    </xf>
    <xf numFmtId="0" fontId="21" fillId="5" borderId="16" xfId="0" applyFont="1" applyFill="1" applyBorder="1" applyAlignment="1" applyProtection="1">
      <alignment horizontal="center" vertical="center" wrapText="1"/>
      <protection locked="0"/>
    </xf>
    <xf numFmtId="0" fontId="21" fillId="5" borderId="15" xfId="0" applyFont="1" applyFill="1" applyBorder="1" applyAlignment="1" applyProtection="1">
      <alignment horizontal="center" vertical="center" wrapText="1"/>
      <protection locked="0"/>
    </xf>
    <xf numFmtId="0" fontId="21" fillId="5" borderId="17" xfId="0" applyFont="1" applyFill="1" applyBorder="1" applyAlignment="1" applyProtection="1">
      <alignment horizontal="center" vertical="center" wrapText="1"/>
      <protection locked="0"/>
    </xf>
    <xf numFmtId="0" fontId="34" fillId="0" borderId="0" xfId="0" applyFont="1" applyAlignment="1">
      <alignment horizontal="center"/>
    </xf>
    <xf numFmtId="0" fontId="35" fillId="0" borderId="0" xfId="0" applyFont="1" applyAlignment="1">
      <alignment vertical="center"/>
    </xf>
    <xf numFmtId="0" fontId="36" fillId="0" borderId="0" xfId="0" applyFont="1" applyAlignment="1">
      <alignment horizontal="center"/>
    </xf>
    <xf numFmtId="0" fontId="37" fillId="0" borderId="0" xfId="0" applyFont="1" applyAlignment="1">
      <alignment horizontal="left" indent="2"/>
    </xf>
    <xf numFmtId="0" fontId="43" fillId="0" borderId="0" xfId="0" applyFont="1"/>
    <xf numFmtId="0" fontId="3" fillId="0" borderId="0" xfId="0" applyFont="1" applyAlignment="1">
      <alignment horizontal="left" wrapText="1" indent="2"/>
    </xf>
    <xf numFmtId="0" fontId="31" fillId="0" borderId="27" xfId="0" applyFont="1" applyBorder="1" applyAlignment="1">
      <alignment horizontal="left" vertical="center"/>
    </xf>
    <xf numFmtId="0" fontId="33" fillId="0" borderId="28" xfId="0" applyFont="1" applyBorder="1" applyAlignment="1">
      <alignment horizontal="left" vertical="center"/>
    </xf>
    <xf numFmtId="0" fontId="3" fillId="0" borderId="28" xfId="0" applyFont="1" applyBorder="1"/>
    <xf numFmtId="0" fontId="3" fillId="0" borderId="29" xfId="0" applyFont="1" applyBorder="1"/>
    <xf numFmtId="0" fontId="3" fillId="0" borderId="34" xfId="0" applyFont="1" applyBorder="1" applyAlignment="1">
      <alignment vertical="top"/>
    </xf>
    <xf numFmtId="0" fontId="3" fillId="0" borderId="0" xfId="0" applyFont="1" applyAlignment="1">
      <alignment horizontal="left" vertical="top" wrapText="1"/>
    </xf>
    <xf numFmtId="0" fontId="3" fillId="0" borderId="57" xfId="0" applyFont="1" applyBorder="1"/>
    <xf numFmtId="0" fontId="3" fillId="0" borderId="58" xfId="0" applyFont="1" applyBorder="1"/>
    <xf numFmtId="0" fontId="3" fillId="0" borderId="59" xfId="0" applyFont="1" applyBorder="1" applyAlignment="1">
      <alignment horizontal="center"/>
    </xf>
    <xf numFmtId="0" fontId="3" fillId="0" borderId="59" xfId="0" applyFont="1" applyBorder="1"/>
    <xf numFmtId="0" fontId="3" fillId="0" borderId="60" xfId="0" applyFont="1" applyBorder="1"/>
    <xf numFmtId="0" fontId="3" fillId="0" borderId="27" xfId="0" applyFont="1" applyBorder="1"/>
    <xf numFmtId="0" fontId="33" fillId="0" borderId="28" xfId="0" applyFont="1" applyBorder="1" applyAlignment="1">
      <alignment vertical="center"/>
    </xf>
    <xf numFmtId="0" fontId="3" fillId="0" borderId="34" xfId="0" applyFont="1" applyBorder="1"/>
    <xf numFmtId="0" fontId="3" fillId="0" borderId="0" xfId="0" applyFont="1" applyAlignment="1">
      <alignment vertical="top"/>
    </xf>
    <xf numFmtId="0" fontId="3" fillId="7" borderId="61" xfId="0" applyFont="1" applyFill="1" applyBorder="1"/>
    <xf numFmtId="0" fontId="32" fillId="7" borderId="62" xfId="0" applyFont="1" applyFill="1" applyBorder="1" applyAlignment="1">
      <alignment vertical="center"/>
    </xf>
    <xf numFmtId="0" fontId="3" fillId="7" borderId="62" xfId="0" applyFont="1" applyFill="1" applyBorder="1"/>
    <xf numFmtId="0" fontId="3" fillId="7" borderId="63" xfId="0" applyFont="1" applyFill="1" applyBorder="1"/>
    <xf numFmtId="0" fontId="3" fillId="7" borderId="64" xfId="0" applyFont="1" applyFill="1" applyBorder="1"/>
    <xf numFmtId="0" fontId="3" fillId="7" borderId="66" xfId="0" applyFont="1" applyFill="1" applyBorder="1"/>
    <xf numFmtId="0" fontId="16" fillId="5" borderId="11" xfId="0" applyFont="1" applyFill="1" applyBorder="1" applyAlignment="1">
      <alignment horizontal="right" vertical="center"/>
    </xf>
    <xf numFmtId="0" fontId="16" fillId="5" borderId="12" xfId="0" applyFont="1" applyFill="1" applyBorder="1" applyAlignment="1">
      <alignment horizontal="right" vertical="center"/>
    </xf>
    <xf numFmtId="0" fontId="16" fillId="5" borderId="13" xfId="0" applyFont="1" applyFill="1" applyBorder="1" applyAlignment="1">
      <alignment horizontal="right" vertical="center"/>
    </xf>
    <xf numFmtId="0" fontId="4" fillId="4" borderId="0" xfId="0" applyFont="1" applyFill="1" applyAlignment="1">
      <alignment horizontal="left" vertical="top" wrapText="1"/>
    </xf>
    <xf numFmtId="0" fontId="12" fillId="7" borderId="6" xfId="0" applyFont="1" applyFill="1" applyBorder="1" applyAlignment="1">
      <alignment horizontal="left" vertical="center" wrapText="1"/>
    </xf>
    <xf numFmtId="49" fontId="14" fillId="8" borderId="8" xfId="0" applyNumberFormat="1" applyFont="1" applyFill="1" applyBorder="1" applyAlignment="1" applyProtection="1">
      <alignment horizontal="center" vertical="center"/>
      <protection locked="0"/>
    </xf>
    <xf numFmtId="49" fontId="14" fillId="8" borderId="9" xfId="0" applyNumberFormat="1" applyFont="1" applyFill="1" applyBorder="1" applyAlignment="1" applyProtection="1">
      <alignment horizontal="center" vertical="center"/>
      <protection locked="0"/>
    </xf>
    <xf numFmtId="49" fontId="14" fillId="8" borderId="10" xfId="0" applyNumberFormat="1" applyFont="1" applyFill="1" applyBorder="1" applyAlignment="1" applyProtection="1">
      <alignment horizontal="center" vertical="center"/>
      <protection locked="0"/>
    </xf>
    <xf numFmtId="167" fontId="14" fillId="8" borderId="8" xfId="0" applyNumberFormat="1" applyFont="1" applyFill="1" applyBorder="1" applyAlignment="1" applyProtection="1">
      <alignment horizontal="center" vertical="center"/>
      <protection locked="0"/>
    </xf>
    <xf numFmtId="167" fontId="14" fillId="8" borderId="9" xfId="0" applyNumberFormat="1" applyFont="1" applyFill="1" applyBorder="1" applyAlignment="1" applyProtection="1">
      <alignment horizontal="center" vertical="center"/>
      <protection locked="0"/>
    </xf>
    <xf numFmtId="167" fontId="14" fillId="8" borderId="10" xfId="0" applyNumberFormat="1" applyFont="1" applyFill="1" applyBorder="1" applyAlignment="1" applyProtection="1">
      <alignment horizontal="center" vertical="center"/>
      <protection locked="0"/>
    </xf>
    <xf numFmtId="0" fontId="32" fillId="11" borderId="0" xfId="0" applyFont="1" applyFill="1" applyAlignment="1">
      <alignment horizontal="left" vertical="center"/>
    </xf>
    <xf numFmtId="0" fontId="32" fillId="0" borderId="0" xfId="0" applyFont="1" applyAlignment="1">
      <alignment horizontal="center" vertical="center"/>
    </xf>
    <xf numFmtId="0" fontId="21" fillId="5" borderId="51" xfId="0" applyFont="1" applyFill="1" applyBorder="1" applyAlignment="1">
      <alignment horizontal="center" vertical="center" wrapText="1"/>
    </xf>
    <xf numFmtId="0" fontId="21" fillId="5" borderId="23" xfId="0" applyFont="1" applyFill="1" applyBorder="1" applyAlignment="1">
      <alignment horizontal="center" vertical="center" wrapText="1"/>
    </xf>
    <xf numFmtId="0" fontId="23" fillId="0" borderId="52" xfId="0" applyFont="1" applyBorder="1" applyAlignment="1">
      <alignment horizontal="center" vertical="top" wrapText="1"/>
    </xf>
    <xf numFmtId="0" fontId="23" fillId="0" borderId="53" xfId="0" applyFont="1" applyBorder="1" applyAlignment="1">
      <alignment horizontal="center" vertical="top" wrapText="1"/>
    </xf>
    <xf numFmtId="0" fontId="23" fillId="0" borderId="54" xfId="0" applyFont="1" applyBorder="1" applyAlignment="1">
      <alignment horizontal="center" vertical="top" wrapText="1"/>
    </xf>
    <xf numFmtId="0" fontId="23" fillId="0" borderId="55" xfId="0" applyFont="1" applyBorder="1" applyAlignment="1">
      <alignment horizontal="center" vertical="top" wrapText="1"/>
    </xf>
    <xf numFmtId="0" fontId="23" fillId="0" borderId="23" xfId="0" applyFont="1" applyBorder="1" applyAlignment="1">
      <alignment horizontal="center" vertical="top" wrapText="1"/>
    </xf>
    <xf numFmtId="0" fontId="23" fillId="0" borderId="56" xfId="0" applyFont="1" applyBorder="1" applyAlignment="1">
      <alignment horizontal="center" vertical="top" wrapText="1"/>
    </xf>
    <xf numFmtId="10" fontId="26" fillId="7" borderId="30" xfId="4" applyNumberFormat="1" applyFont="1" applyFill="1" applyBorder="1" applyAlignment="1" applyProtection="1">
      <alignment horizontal="center" vertical="center" wrapText="1"/>
      <protection locked="0"/>
    </xf>
    <xf numFmtId="10" fontId="26" fillId="7" borderId="7" xfId="4" applyNumberFormat="1" applyFont="1" applyFill="1" applyBorder="1" applyAlignment="1" applyProtection="1">
      <alignment horizontal="center" vertical="center" wrapText="1"/>
      <protection locked="0"/>
    </xf>
    <xf numFmtId="10" fontId="26" fillId="7" borderId="31" xfId="4" applyNumberFormat="1" applyFont="1" applyFill="1" applyBorder="1" applyAlignment="1" applyProtection="1">
      <alignment horizontal="center" vertical="center" wrapText="1"/>
      <protection locked="0"/>
    </xf>
    <xf numFmtId="0" fontId="27" fillId="7" borderId="32" xfId="0" applyFont="1" applyFill="1" applyBorder="1" applyAlignment="1">
      <alignment horizontal="center" vertical="center" wrapText="1"/>
    </xf>
    <xf numFmtId="0" fontId="27" fillId="7" borderId="33" xfId="0" applyFont="1" applyFill="1" applyBorder="1" applyAlignment="1">
      <alignment horizontal="center" vertical="center" wrapText="1"/>
    </xf>
    <xf numFmtId="0" fontId="27" fillId="7" borderId="17" xfId="0" applyFont="1" applyFill="1" applyBorder="1" applyAlignment="1">
      <alignment horizontal="center" vertical="center" wrapText="1"/>
    </xf>
    <xf numFmtId="0" fontId="27" fillId="7" borderId="36" xfId="0" applyFont="1" applyFill="1" applyBorder="1" applyAlignment="1">
      <alignment horizontal="center" vertical="center" wrapText="1"/>
    </xf>
    <xf numFmtId="0" fontId="27" fillId="7" borderId="0" xfId="0" applyFont="1" applyFill="1" applyAlignment="1">
      <alignment horizontal="center" vertical="center" wrapText="1"/>
    </xf>
    <xf numFmtId="0" fontId="27" fillId="7" borderId="37" xfId="0" applyFont="1" applyFill="1" applyBorder="1" applyAlignment="1">
      <alignment horizontal="center" vertical="center" wrapText="1"/>
    </xf>
    <xf numFmtId="0" fontId="27" fillId="7" borderId="19" xfId="0" applyFont="1" applyFill="1" applyBorder="1" applyAlignment="1">
      <alignment horizontal="center" vertical="center" wrapText="1"/>
    </xf>
    <xf numFmtId="0" fontId="27" fillId="7" borderId="42" xfId="0" applyFont="1" applyFill="1" applyBorder="1" applyAlignment="1">
      <alignment horizontal="center" vertical="center" wrapText="1"/>
    </xf>
    <xf numFmtId="0" fontId="27" fillId="7" borderId="43" xfId="0" applyFont="1" applyFill="1" applyBorder="1" applyAlignment="1">
      <alignment horizontal="center" vertical="center" wrapText="1"/>
    </xf>
    <xf numFmtId="0" fontId="6" fillId="6" borderId="38" xfId="0" applyFont="1" applyFill="1" applyBorder="1" applyAlignment="1">
      <alignment horizontal="center" vertical="center" wrapText="1"/>
    </xf>
    <xf numFmtId="0" fontId="6" fillId="6" borderId="39" xfId="0" applyFont="1" applyFill="1" applyBorder="1" applyAlignment="1">
      <alignment horizontal="center" vertical="center" wrapText="1"/>
    </xf>
    <xf numFmtId="0" fontId="6" fillId="6" borderId="40" xfId="0" applyFont="1" applyFill="1" applyBorder="1" applyAlignment="1">
      <alignment horizontal="center" vertical="center" wrapText="1"/>
    </xf>
    <xf numFmtId="0" fontId="21" fillId="5" borderId="14" xfId="0" applyFont="1" applyFill="1" applyBorder="1" applyAlignment="1" applyProtection="1">
      <alignment horizontal="center" vertical="center" wrapText="1"/>
      <protection locked="0"/>
    </xf>
    <xf numFmtId="0" fontId="21" fillId="5" borderId="0" xfId="0" applyFont="1" applyFill="1" applyAlignment="1" applyProtection="1">
      <alignment horizontal="center" vertical="center" wrapText="1"/>
      <protection locked="0"/>
    </xf>
    <xf numFmtId="0" fontId="21" fillId="5" borderId="23" xfId="0" applyFont="1" applyFill="1" applyBorder="1" applyAlignment="1" applyProtection="1">
      <alignment horizontal="center" vertical="center" wrapText="1"/>
      <protection locked="0"/>
    </xf>
    <xf numFmtId="168" fontId="23" fillId="7" borderId="19" xfId="0" applyNumberFormat="1" applyFont="1" applyFill="1" applyBorder="1" applyAlignment="1">
      <alignment horizontal="center" vertical="center"/>
    </xf>
    <xf numFmtId="168" fontId="23" fillId="7" borderId="20" xfId="0" applyNumberFormat="1" applyFont="1" applyFill="1" applyBorder="1" applyAlignment="1">
      <alignment horizontal="center" vertical="center"/>
    </xf>
    <xf numFmtId="168" fontId="23" fillId="7" borderId="21" xfId="0" applyNumberFormat="1" applyFont="1" applyFill="1" applyBorder="1" applyAlignment="1">
      <alignment horizontal="center" vertical="center"/>
    </xf>
    <xf numFmtId="0" fontId="25" fillId="11" borderId="27" xfId="0" applyFont="1" applyFill="1" applyBorder="1" applyAlignment="1" applyProtection="1">
      <alignment horizontal="center" vertical="center" wrapText="1"/>
      <protection locked="0"/>
    </xf>
    <xf numFmtId="0" fontId="25" fillId="11" borderId="28" xfId="0" applyFont="1" applyFill="1" applyBorder="1" applyAlignment="1" applyProtection="1">
      <alignment horizontal="center" vertical="center" wrapText="1"/>
      <protection locked="0"/>
    </xf>
    <xf numFmtId="0" fontId="25" fillId="11" borderId="29" xfId="0" applyFont="1" applyFill="1" applyBorder="1" applyAlignment="1" applyProtection="1">
      <alignment horizontal="center" vertical="center" wrapText="1"/>
      <protection locked="0"/>
    </xf>
    <xf numFmtId="0" fontId="11" fillId="7" borderId="65" xfId="0" applyFont="1" applyFill="1" applyBorder="1" applyAlignment="1">
      <alignment horizontal="left" vertical="top" wrapText="1"/>
    </xf>
  </cellXfs>
  <cellStyles count="6">
    <cellStyle name="Calculation" xfId="2" builtinId="22"/>
    <cellStyle name="Comma 2" xfId="5" xr:uid="{7114D8E1-F20B-4CAC-9FAE-42AC0C84803C}"/>
    <cellStyle name="Hyperlink" xfId="4" builtinId="8"/>
    <cellStyle name="Normal" xfId="0" builtinId="0"/>
    <cellStyle name="Note" xfId="3" builtinId="10"/>
    <cellStyle name="Per cent" xfId="1" builtinId="5"/>
  </cellStyles>
  <dxfs count="26">
    <dxf>
      <font>
        <b/>
        <i val="0"/>
        <color theme="0"/>
      </font>
      <fill>
        <patternFill>
          <bgColor rgb="FF3B8634"/>
        </patternFill>
      </fill>
    </dxf>
    <dxf>
      <font>
        <b/>
        <i val="0"/>
        <color theme="0"/>
      </font>
      <fill>
        <patternFill>
          <bgColor rgb="FF3B8634"/>
        </patternFill>
      </fill>
    </dxf>
    <dxf>
      <font>
        <color rgb="FFF5F2EF"/>
      </font>
      <fill>
        <patternFill>
          <bgColor rgb="FFF5F2EF"/>
        </patternFill>
      </fill>
    </dxf>
    <dxf>
      <font>
        <color rgb="FFF5F2EF"/>
      </font>
      <fill>
        <patternFill>
          <bgColor rgb="FFF5F2EF"/>
        </patternFill>
      </fill>
    </dxf>
    <dxf>
      <font>
        <b/>
        <i val="0"/>
        <color theme="0"/>
      </font>
      <fill>
        <patternFill>
          <bgColor rgb="FFD83734"/>
        </patternFill>
      </fill>
    </dxf>
    <dxf>
      <font>
        <color rgb="FFF5F2EF"/>
      </font>
      <fill>
        <patternFill>
          <bgColor rgb="FFF5F2EF"/>
        </patternFill>
      </fill>
    </dxf>
    <dxf>
      <font>
        <b/>
        <i val="0"/>
        <color theme="0"/>
      </font>
      <fill>
        <patternFill>
          <bgColor rgb="FFD83734"/>
        </patternFill>
      </fill>
    </dxf>
    <dxf>
      <font>
        <b/>
        <i val="0"/>
        <color theme="0"/>
      </font>
      <fill>
        <patternFill>
          <bgColor rgb="FFD83734"/>
        </patternFill>
      </fill>
    </dxf>
    <dxf>
      <font>
        <b/>
        <i val="0"/>
        <color theme="0"/>
      </font>
      <fill>
        <patternFill>
          <bgColor rgb="FFD83734"/>
        </patternFill>
      </fill>
    </dxf>
    <dxf>
      <font>
        <b/>
        <i val="0"/>
        <color theme="0"/>
      </font>
      <fill>
        <patternFill>
          <bgColor rgb="FFD83734"/>
        </patternFill>
      </fill>
    </dxf>
    <dxf>
      <font>
        <b/>
        <i val="0"/>
        <color theme="0"/>
      </font>
      <fill>
        <patternFill>
          <bgColor rgb="FFD83734"/>
        </patternFill>
      </fill>
    </dxf>
    <dxf>
      <font>
        <b/>
        <i val="0"/>
        <color theme="0"/>
      </font>
      <fill>
        <patternFill>
          <bgColor rgb="FFD83734"/>
        </patternFill>
      </fill>
    </dxf>
    <dxf>
      <font>
        <b/>
        <i val="0"/>
        <color theme="0"/>
      </font>
      <fill>
        <patternFill>
          <bgColor rgb="FFD83734"/>
        </patternFill>
      </fill>
    </dxf>
    <dxf>
      <font>
        <b/>
        <i val="0"/>
        <color theme="0"/>
      </font>
      <fill>
        <patternFill>
          <bgColor rgb="FFD83734"/>
        </patternFill>
      </fill>
    </dxf>
    <dxf>
      <font>
        <b/>
        <i val="0"/>
        <color theme="0"/>
      </font>
      <fill>
        <patternFill>
          <bgColor rgb="FFD83734"/>
        </patternFill>
      </fill>
    </dxf>
    <dxf>
      <font>
        <b/>
        <i val="0"/>
        <color theme="0"/>
      </font>
      <fill>
        <patternFill>
          <bgColor rgb="FF3B8634"/>
        </patternFill>
      </fill>
    </dxf>
    <dxf>
      <font>
        <b/>
        <i val="0"/>
        <color theme="0"/>
      </font>
      <fill>
        <patternFill>
          <bgColor rgb="FFD83734"/>
        </patternFill>
      </fill>
    </dxf>
    <dxf>
      <font>
        <b/>
        <i val="0"/>
        <color theme="0"/>
      </font>
      <fill>
        <patternFill>
          <bgColor rgb="FF3B8634"/>
        </patternFill>
      </fill>
    </dxf>
    <dxf>
      <font>
        <b/>
        <i val="0"/>
        <color theme="0"/>
      </font>
      <fill>
        <patternFill>
          <bgColor rgb="FFD83734"/>
        </patternFill>
      </fill>
    </dxf>
    <dxf>
      <font>
        <b/>
        <i val="0"/>
        <color theme="0"/>
      </font>
      <fill>
        <patternFill>
          <bgColor rgb="FF3B8634"/>
        </patternFill>
      </fill>
    </dxf>
    <dxf>
      <font>
        <b/>
        <i val="0"/>
        <color theme="0"/>
      </font>
      <fill>
        <patternFill>
          <bgColor rgb="FF3B8634"/>
        </patternFill>
      </fill>
    </dxf>
    <dxf>
      <font>
        <b/>
        <i val="0"/>
        <color theme="0"/>
      </font>
      <fill>
        <patternFill>
          <bgColor rgb="FFD83734"/>
        </patternFill>
      </fill>
    </dxf>
    <dxf>
      <font>
        <b val="0"/>
        <i val="0"/>
        <color theme="1"/>
      </font>
      <fill>
        <patternFill>
          <bgColor rgb="FFF9A62B"/>
        </patternFill>
      </fill>
    </dxf>
    <dxf>
      <fill>
        <patternFill>
          <bgColor rgb="FFF9A62B"/>
        </patternFill>
      </fill>
    </dxf>
    <dxf>
      <font>
        <b/>
        <i val="0"/>
        <color theme="0"/>
      </font>
      <fill>
        <patternFill>
          <bgColor rgb="FFD83734"/>
        </patternFill>
      </fill>
    </dxf>
    <dxf>
      <font>
        <b/>
        <i val="0"/>
        <color theme="0"/>
      </font>
      <fill>
        <patternFill>
          <bgColor rgb="FFD83734"/>
        </patternFill>
      </fill>
    </dxf>
  </dxfs>
  <tableStyles count="0" defaultTableStyle="TableStyleMedium2" defaultPivotStyle="PivotStyleLight16"/>
  <colors>
    <mruColors>
      <color rgb="FF1244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1216207</xdr:colOff>
      <xdr:row>0</xdr:row>
      <xdr:rowOff>1612747</xdr:rowOff>
    </xdr:to>
    <xdr:pic>
      <xdr:nvPicPr>
        <xdr:cNvPr id="2" name="Picture 1">
          <a:extLst>
            <a:ext uri="{FF2B5EF4-FFF2-40B4-BE49-F238E27FC236}">
              <a16:creationId xmlns:a16="http://schemas.microsoft.com/office/drawing/2014/main" id="{4307E0B1-8D07-4123-A4E0-4974BFB8D9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68757" cy="161274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2255926</xdr:colOff>
      <xdr:row>5</xdr:row>
      <xdr:rowOff>28422</xdr:rowOff>
    </xdr:to>
    <xdr:pic>
      <xdr:nvPicPr>
        <xdr:cNvPr id="2" name="Picture 1">
          <a:extLst>
            <a:ext uri="{FF2B5EF4-FFF2-40B4-BE49-F238E27FC236}">
              <a16:creationId xmlns:a16="http://schemas.microsoft.com/office/drawing/2014/main" id="{A3B4023F-56FC-481E-9A78-87E427FB71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67076" cy="161274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95250</xdr:rowOff>
    </xdr:from>
    <xdr:to>
      <xdr:col>2</xdr:col>
      <xdr:colOff>2227351</xdr:colOff>
      <xdr:row>4</xdr:row>
      <xdr:rowOff>364972</xdr:rowOff>
    </xdr:to>
    <xdr:pic>
      <xdr:nvPicPr>
        <xdr:cNvPr id="2" name="Picture 1">
          <a:extLst>
            <a:ext uri="{FF2B5EF4-FFF2-40B4-BE49-F238E27FC236}">
              <a16:creationId xmlns:a16="http://schemas.microsoft.com/office/drawing/2014/main" id="{ACC21709-564F-46BB-A7E2-7A22E9A9C0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5250"/>
          <a:ext cx="2589301" cy="161274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21489\Downloads\TMW%20BTL%20Assessment%20Form%20V3%20B8%20TEST.xlsm" TargetMode="External"/><Relationship Id="rId1" Type="http://schemas.openxmlformats.org/officeDocument/2006/relationships/externalLinkPath" Target="file:///C:\Users\p21489\Downloads\TMW%20BTL%20Assessment%20Form%20V3%20B8%20TES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rtfolio Calculations"/>
      <sheetName val="MNB Automated Checks"/>
      <sheetName val="MacroAuditTrail"/>
      <sheetName val="Stress &amp; Exposure Tables"/>
      <sheetName val="Case Manager Codes"/>
      <sheetName val="SAS Data"/>
      <sheetName val="EDM Data"/>
      <sheetName val="Admin and Functions"/>
      <sheetName val="Application Personal Details"/>
      <sheetName val="Property Details"/>
      <sheetName val="Activate Codes"/>
      <sheetName val="LR Searches"/>
      <sheetName val="Holistic Assessment"/>
      <sheetName val="Transaction"/>
      <sheetName val="MNB Assessment"/>
      <sheetName val="TMW Exposure"/>
      <sheetName val="Credit Checker"/>
      <sheetName val="Portfolio Summary"/>
      <sheetName val="Portfolio"/>
      <sheetName val="AML Assessment Form"/>
      <sheetName val="Portfolio Schedule"/>
      <sheetName val="Portfolio Review"/>
      <sheetName val="Introduction"/>
      <sheetName val="Lookups"/>
      <sheetName val="Fraud Referral"/>
      <sheetName val="PSC Referral"/>
      <sheetName val="PVQ Form"/>
    </sheetNames>
    <sheetDataSet>
      <sheetData sheetId="0">
        <row r="6">
          <cell r="D6">
            <v>3</v>
          </cell>
        </row>
        <row r="7">
          <cell r="D7">
            <v>4.7500000000000001E-2</v>
          </cell>
        </row>
        <row r="42">
          <cell r="J42" t="str">
            <v>CRU 2</v>
          </cell>
        </row>
      </sheetData>
      <sheetData sheetId="1"/>
      <sheetData sheetId="2"/>
      <sheetData sheetId="3">
        <row r="9">
          <cell r="D9">
            <v>1.6</v>
          </cell>
        </row>
        <row r="10">
          <cell r="D10">
            <v>1.25</v>
          </cell>
        </row>
        <row r="11">
          <cell r="D11">
            <v>1.75</v>
          </cell>
          <cell r="G11">
            <v>1.45</v>
          </cell>
        </row>
        <row r="12">
          <cell r="D12">
            <v>1.25</v>
          </cell>
        </row>
        <row r="32">
          <cell r="S32">
            <v>0</v>
          </cell>
          <cell r="T32">
            <v>0.8</v>
          </cell>
        </row>
        <row r="33">
          <cell r="S33">
            <v>350000.5</v>
          </cell>
          <cell r="T33">
            <v>0.75</v>
          </cell>
        </row>
        <row r="34">
          <cell r="S34">
            <v>350001</v>
          </cell>
          <cell r="T34">
            <v>0.7</v>
          </cell>
        </row>
        <row r="35">
          <cell r="S35">
            <v>500001</v>
          </cell>
          <cell r="T35">
            <v>0.65</v>
          </cell>
        </row>
        <row r="36">
          <cell r="S36">
            <v>500001</v>
          </cell>
          <cell r="T36">
            <v>0</v>
          </cell>
        </row>
        <row r="37">
          <cell r="S37">
            <v>750001</v>
          </cell>
          <cell r="T37">
            <v>0</v>
          </cell>
        </row>
        <row r="49">
          <cell r="C49" t="b">
            <v>0</v>
          </cell>
        </row>
      </sheetData>
      <sheetData sheetId="4"/>
      <sheetData sheetId="5"/>
      <sheetData sheetId="6"/>
      <sheetData sheetId="7"/>
      <sheetData sheetId="8"/>
      <sheetData sheetId="9"/>
      <sheetData sheetId="10"/>
      <sheetData sheetId="11"/>
      <sheetData sheetId="12"/>
      <sheetData sheetId="13">
        <row r="7">
          <cell r="AM7">
            <v>63</v>
          </cell>
        </row>
        <row r="8">
          <cell r="AM8">
            <v>0</v>
          </cell>
        </row>
        <row r="9">
          <cell r="Q9" t="str">
            <v>Chris Hayward</v>
          </cell>
          <cell r="AM9">
            <v>0</v>
          </cell>
        </row>
        <row r="10">
          <cell r="Q10" t="str">
            <v>BDM Not Found</v>
          </cell>
          <cell r="AM10">
            <v>0</v>
          </cell>
        </row>
        <row r="37">
          <cell r="N37" t="str">
            <v>Pending</v>
          </cell>
        </row>
        <row r="46">
          <cell r="H46" t="str">
            <v>Owner</v>
          </cell>
          <cell r="I46" t="str">
            <v>Non-Owner</v>
          </cell>
        </row>
        <row r="53">
          <cell r="D53" t="str">
            <v>Remortgages</v>
          </cell>
        </row>
      </sheetData>
      <sheetData sheetId="14">
        <row r="56">
          <cell r="M56" t="str">
            <v>Pass</v>
          </cell>
        </row>
        <row r="66">
          <cell r="M66" t="str">
            <v>Refer</v>
          </cell>
        </row>
        <row r="85">
          <cell r="M85" t="str">
            <v>Refer</v>
          </cell>
        </row>
        <row r="92">
          <cell r="M92" t="str">
            <v>Pass</v>
          </cell>
        </row>
        <row r="108">
          <cell r="M108" t="str">
            <v>Refer</v>
          </cell>
        </row>
        <row r="137">
          <cell r="M137" t="str">
            <v>Pass</v>
          </cell>
        </row>
        <row r="145">
          <cell r="M145" t="str">
            <v>Refer</v>
          </cell>
        </row>
        <row r="155">
          <cell r="M155" t="str">
            <v>Refer</v>
          </cell>
        </row>
        <row r="161">
          <cell r="M161" t="str">
            <v>Refer</v>
          </cell>
        </row>
      </sheetData>
      <sheetData sheetId="15"/>
      <sheetData sheetId="16"/>
      <sheetData sheetId="17"/>
      <sheetData sheetId="18"/>
      <sheetData sheetId="19">
        <row r="90">
          <cell r="K90" t="str">
            <v>UK Savings</v>
          </cell>
          <cell r="L90" t="str">
            <v>Company/Director; Profits (inc other UK Ltd)/Savings/Investments/UK Equity</v>
          </cell>
        </row>
        <row r="91">
          <cell r="K91" t="str">
            <v>Gift</v>
          </cell>
          <cell r="L91" t="str">
            <v>Third Party Assets/Gifts</v>
          </cell>
        </row>
        <row r="92">
          <cell r="K92" t="str">
            <v>Equity</v>
          </cell>
          <cell r="L92" t="str">
            <v>Company/Director; Profits (inc other UK Ltd)/Savings/Investments/UK Equity</v>
          </cell>
        </row>
        <row r="93">
          <cell r="K93" t="str">
            <v>Business/Company</v>
          </cell>
          <cell r="L93" t="str">
            <v>Company/Director; Profits (inc other UK Ltd)/Savings/Investments/UK Equity</v>
          </cell>
        </row>
        <row r="94">
          <cell r="K94" t="str">
            <v>Cashback</v>
          </cell>
          <cell r="L94" t="str">
            <v>Please Select</v>
          </cell>
        </row>
        <row r="95">
          <cell r="K95" t="str">
            <v>Overseas</v>
          </cell>
          <cell r="L95" t="str">
            <v>Please Select</v>
          </cell>
        </row>
        <row r="96">
          <cell r="K96" t="str">
            <v>Intercompany Loan</v>
          </cell>
          <cell r="L96" t="str">
            <v>Company/Director; Profits (inc other UK Ltd)/Savings/Investments/UK Equity</v>
          </cell>
        </row>
        <row r="97">
          <cell r="K97" t="str">
            <v>Remortgages</v>
          </cell>
          <cell r="L97" t="str">
            <v>None - Remortgage/Let to Buy</v>
          </cell>
        </row>
      </sheetData>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themortgageworks.co.uk/intermediaries/lending-criteria/income" TargetMode="External"/><Relationship Id="rId1" Type="http://schemas.openxmlformats.org/officeDocument/2006/relationships/hyperlink" Target="https://www.themortgageworks.co.uk/lending-criteria/income"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themortgageworks.co.uk/intermediaries/products/portfolio-landlords/portfolio-review"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FB834-2542-4598-9C7A-4170B3FFAE95}">
  <sheetPr codeName="PilotPortfolioScheduleSheet">
    <tabColor rgb="FFD0DADA"/>
  </sheetPr>
  <dimension ref="A1:AC38"/>
  <sheetViews>
    <sheetView showGridLines="0" zoomScale="90" zoomScaleNormal="90" workbookViewId="0">
      <selection activeCell="A9" sqref="A9:R10"/>
    </sheetView>
  </sheetViews>
  <sheetFormatPr defaultColWidth="0" defaultRowHeight="15" customHeight="1" zeroHeight="1" x14ac:dyDescent="0.3"/>
  <cols>
    <col min="1" max="1" width="20.26953125" style="29" customWidth="1"/>
    <col min="2" max="4" width="18.7265625" style="29" customWidth="1"/>
    <col min="5" max="6" width="18.7265625" style="29" hidden="1" customWidth="1"/>
    <col min="7" max="8" width="18.7265625" style="29" customWidth="1"/>
    <col min="9" max="9" width="12.7265625" style="29" customWidth="1"/>
    <col min="10" max="10" width="11.7265625" style="30" customWidth="1"/>
    <col min="11" max="11" width="10.7265625" style="31" customWidth="1"/>
    <col min="12" max="12" width="41.7265625" style="29" customWidth="1"/>
    <col min="13" max="13" width="17.7265625" style="32" customWidth="1"/>
    <col min="14" max="14" width="20.7265625" style="29" customWidth="1"/>
    <col min="15" max="16" width="18.7265625" style="4" customWidth="1"/>
    <col min="17" max="17" width="22.7265625" style="4" hidden="1" customWidth="1"/>
    <col min="18" max="18" width="18.7265625" style="4" customWidth="1"/>
    <col min="19" max="19" width="8.7265625" style="4" customWidth="1"/>
    <col min="20" max="25" width="8.7265625" style="4" hidden="1" customWidth="1"/>
    <col min="26" max="16384" width="8.7265625" style="4" hidden="1"/>
  </cols>
  <sheetData>
    <row r="1" spans="1:29" ht="246" customHeight="1" x14ac:dyDescent="0.3">
      <c r="A1" s="1"/>
      <c r="B1" s="2"/>
      <c r="C1" s="2"/>
      <c r="D1" s="164" t="s">
        <v>0</v>
      </c>
      <c r="E1" s="164"/>
      <c r="F1" s="164"/>
      <c r="G1" s="164"/>
      <c r="H1" s="164"/>
      <c r="I1" s="164"/>
      <c r="J1" s="164"/>
      <c r="K1" s="164"/>
      <c r="L1" s="164"/>
      <c r="M1" s="164"/>
      <c r="N1" s="3"/>
      <c r="O1" s="3"/>
      <c r="P1" s="3"/>
      <c r="Q1" s="3"/>
      <c r="R1" s="3"/>
    </row>
    <row r="2" spans="1:29" s="11" customFormat="1" ht="109.9" customHeight="1" x14ac:dyDescent="0.25">
      <c r="A2" s="5" t="s">
        <v>1</v>
      </c>
      <c r="B2" s="5" t="s">
        <v>2</v>
      </c>
      <c r="C2" s="6" t="s">
        <v>3</v>
      </c>
      <c r="D2" s="6" t="s">
        <v>4</v>
      </c>
      <c r="E2" s="7" t="s">
        <v>5</v>
      </c>
      <c r="F2" s="7" t="s">
        <v>6</v>
      </c>
      <c r="G2" s="6" t="s">
        <v>7</v>
      </c>
      <c r="H2" s="6" t="s">
        <v>8</v>
      </c>
      <c r="I2" s="6" t="s">
        <v>9</v>
      </c>
      <c r="J2" s="5" t="s">
        <v>10</v>
      </c>
      <c r="K2" s="5" t="s">
        <v>11</v>
      </c>
      <c r="L2" s="5" t="s">
        <v>12</v>
      </c>
      <c r="M2" s="5" t="s">
        <v>13</v>
      </c>
      <c r="N2" s="5" t="s">
        <v>14</v>
      </c>
      <c r="O2" s="8" t="s">
        <v>15</v>
      </c>
      <c r="P2" s="8" t="s">
        <v>16</v>
      </c>
      <c r="Q2" s="9" t="s">
        <v>17</v>
      </c>
      <c r="R2" s="10" t="s">
        <v>18</v>
      </c>
      <c r="T2" s="12" t="s">
        <v>19</v>
      </c>
      <c r="U2" s="12" t="s">
        <v>20</v>
      </c>
      <c r="V2" s="12" t="s">
        <v>21</v>
      </c>
      <c r="W2" s="12" t="s">
        <v>22</v>
      </c>
      <c r="X2" s="12" t="s">
        <v>23</v>
      </c>
      <c r="Y2" s="12" t="s">
        <v>24</v>
      </c>
      <c r="AA2" s="12" t="s">
        <v>25</v>
      </c>
      <c r="AB2" s="12" t="s">
        <v>26</v>
      </c>
      <c r="AC2" s="12" t="s">
        <v>27</v>
      </c>
    </row>
    <row r="3" spans="1:29" ht="36" customHeight="1" x14ac:dyDescent="0.3">
      <c r="A3" s="165" t="s">
        <v>28</v>
      </c>
      <c r="B3" s="165"/>
      <c r="C3" s="165"/>
      <c r="D3" s="165"/>
      <c r="E3" s="165"/>
      <c r="F3" s="165"/>
      <c r="G3" s="165"/>
      <c r="H3" s="165"/>
      <c r="I3" s="165"/>
      <c r="J3" s="165"/>
      <c r="K3" s="165"/>
      <c r="L3" s="165"/>
      <c r="M3" s="165"/>
      <c r="N3" s="165"/>
      <c r="O3" s="165"/>
      <c r="P3" s="165"/>
      <c r="Q3" s="13"/>
      <c r="R3" s="14" t="s">
        <v>29</v>
      </c>
    </row>
    <row r="4" spans="1:29" ht="14" x14ac:dyDescent="0.3">
      <c r="A4" s="15"/>
      <c r="B4" s="15"/>
      <c r="C4" s="16"/>
      <c r="D4" s="16"/>
      <c r="E4" s="16"/>
      <c r="F4" s="15"/>
      <c r="G4" s="16"/>
      <c r="H4" s="15"/>
      <c r="I4" s="16"/>
      <c r="J4" s="17"/>
      <c r="K4" s="166"/>
      <c r="L4" s="15"/>
      <c r="M4" s="18"/>
      <c r="N4" s="15"/>
      <c r="O4" s="19"/>
      <c r="P4" s="169"/>
      <c r="Q4" s="20"/>
      <c r="R4" s="21"/>
      <c r="T4" s="22"/>
      <c r="U4" s="22"/>
      <c r="V4" s="22"/>
      <c r="W4" s="22"/>
      <c r="X4" s="22"/>
      <c r="Y4" s="22"/>
    </row>
    <row r="5" spans="1:29" ht="14" x14ac:dyDescent="0.3">
      <c r="A5" s="15"/>
      <c r="B5" s="15"/>
      <c r="C5" s="16"/>
      <c r="D5" s="16"/>
      <c r="E5" s="16"/>
      <c r="F5" s="15"/>
      <c r="G5" s="16"/>
      <c r="H5" s="15"/>
      <c r="I5" s="16"/>
      <c r="J5" s="17"/>
      <c r="K5" s="167"/>
      <c r="L5" s="15"/>
      <c r="M5" s="18"/>
      <c r="N5" s="15"/>
      <c r="O5" s="19"/>
      <c r="P5" s="170"/>
      <c r="Q5" s="20"/>
      <c r="R5" s="21"/>
      <c r="T5" s="22"/>
      <c r="U5" s="22"/>
      <c r="V5" s="22"/>
      <c r="W5" s="22"/>
      <c r="X5" s="22"/>
      <c r="Y5" s="22"/>
    </row>
    <row r="6" spans="1:29" ht="14" x14ac:dyDescent="0.3">
      <c r="A6" s="15"/>
      <c r="B6" s="15"/>
      <c r="C6" s="16"/>
      <c r="D6" s="16"/>
      <c r="E6" s="16"/>
      <c r="F6" s="15"/>
      <c r="G6" s="16"/>
      <c r="H6" s="15"/>
      <c r="I6" s="16"/>
      <c r="J6" s="17"/>
      <c r="K6" s="167"/>
      <c r="L6" s="15"/>
      <c r="M6" s="18"/>
      <c r="N6" s="15"/>
      <c r="O6" s="19"/>
      <c r="P6" s="170"/>
      <c r="Q6" s="20"/>
      <c r="R6" s="21"/>
      <c r="T6" s="22"/>
      <c r="U6" s="22"/>
      <c r="V6" s="22"/>
      <c r="W6" s="22"/>
      <c r="X6" s="22"/>
      <c r="Y6" s="22"/>
    </row>
    <row r="7" spans="1:29" ht="14" x14ac:dyDescent="0.3">
      <c r="A7" s="15"/>
      <c r="B7" s="15"/>
      <c r="C7" s="16"/>
      <c r="D7" s="16"/>
      <c r="E7" s="16"/>
      <c r="F7" s="15"/>
      <c r="G7" s="16"/>
      <c r="H7" s="15"/>
      <c r="I7" s="16"/>
      <c r="J7" s="17"/>
      <c r="K7" s="168"/>
      <c r="L7" s="15"/>
      <c r="M7" s="18"/>
      <c r="N7" s="15"/>
      <c r="O7" s="19"/>
      <c r="P7" s="171"/>
      <c r="Q7" s="20"/>
      <c r="R7" s="21"/>
      <c r="T7" s="22"/>
      <c r="U7" s="22"/>
      <c r="V7" s="22"/>
      <c r="W7" s="22"/>
      <c r="X7" s="22"/>
      <c r="Y7" s="22"/>
    </row>
    <row r="8" spans="1:29" ht="36" customHeight="1" x14ac:dyDescent="0.3">
      <c r="A8" s="165" t="s">
        <v>32</v>
      </c>
      <c r="B8" s="165"/>
      <c r="C8" s="165"/>
      <c r="D8" s="165"/>
      <c r="E8" s="165"/>
      <c r="F8" s="165"/>
      <c r="G8" s="165"/>
      <c r="H8" s="165"/>
      <c r="I8" s="165"/>
      <c r="J8" s="165"/>
      <c r="K8" s="165"/>
      <c r="L8" s="165"/>
      <c r="M8" s="165"/>
      <c r="N8" s="165"/>
      <c r="O8" s="165"/>
      <c r="P8" s="165"/>
      <c r="Q8" s="13"/>
      <c r="R8" s="14" t="s">
        <v>33</v>
      </c>
    </row>
    <row r="9" spans="1:29" ht="14.25" customHeight="1" x14ac:dyDescent="0.3">
      <c r="A9" s="15"/>
      <c r="B9" s="15"/>
      <c r="C9" s="16"/>
      <c r="D9" s="16"/>
      <c r="E9" s="16"/>
      <c r="F9" s="15"/>
      <c r="G9" s="16"/>
      <c r="H9" s="15"/>
      <c r="I9" s="16"/>
      <c r="J9" s="17"/>
      <c r="K9" s="23"/>
      <c r="L9" s="15"/>
      <c r="M9" s="18"/>
      <c r="N9" s="15"/>
      <c r="O9" s="19"/>
      <c r="P9" s="21"/>
      <c r="Q9" s="21"/>
      <c r="R9" s="21"/>
      <c r="T9" s="22"/>
      <c r="U9" s="22"/>
      <c r="V9" s="22"/>
      <c r="W9" s="22"/>
      <c r="X9" s="22"/>
      <c r="Y9" s="22" t="str" cm="1">
        <f t="array" ref="Y9">IF(A9="","",(_xlfn.IFS(K9="Yes","HMO",A9="Limited Company","Limited Company",A9&lt;&gt;"Limited Company","Standard")))</f>
        <v/>
      </c>
      <c r="AA9" s="24" t="str">
        <f>IF(A9="","",IF(OR(N9="The Mortgage Works", N9="TMW"),1,0))</f>
        <v/>
      </c>
      <c r="AB9" s="24" t="str">
        <f>IF(A9="","",IF(OR(N9="The Mortgage Works", N9="TMW"),0,1))</f>
        <v/>
      </c>
      <c r="AC9" s="24" t="str">
        <f t="shared" ref="AC9" si="0">IF(A9="","",IF(AA9&gt;0,"T"&amp;AA9,"E"&amp;AB9))</f>
        <v/>
      </c>
    </row>
    <row r="10" spans="1:29" ht="14.25" customHeight="1" x14ac:dyDescent="0.3">
      <c r="A10" s="15"/>
      <c r="B10" s="15"/>
      <c r="C10" s="16"/>
      <c r="D10" s="16"/>
      <c r="E10" s="16"/>
      <c r="F10" s="15"/>
      <c r="G10" s="16"/>
      <c r="H10" s="15"/>
      <c r="I10" s="16"/>
      <c r="J10" s="17"/>
      <c r="K10" s="23"/>
      <c r="L10" s="15"/>
      <c r="M10" s="18"/>
      <c r="N10" s="15"/>
      <c r="O10" s="19"/>
      <c r="P10" s="21"/>
      <c r="Q10" s="21"/>
      <c r="R10" s="21"/>
      <c r="T10" s="22"/>
      <c r="U10" s="22"/>
      <c r="V10" s="22"/>
      <c r="W10" s="22"/>
      <c r="X10" s="22"/>
      <c r="Y10" s="22" t="str" cm="1">
        <f t="array" ref="Y10">IF(A10="","",(_xlfn.IFS(K10="Yes","HMO",A10="Limited Company","Limited Company",A10&lt;&gt;"Limited Company","Standard")))</f>
        <v/>
      </c>
      <c r="AA10" s="24" t="str">
        <f>IF(A10="","",IF(OR(N10="The Mortgage Works", N10="TMW"),COUNTIF($AA$9:$AA9,"&gt;0")+1,0))</f>
        <v/>
      </c>
      <c r="AB10" s="24" t="str">
        <f>IF(A10="","",IF(OR(N10="The Mortgage Works", N10="TMW"),0,COUNTIF($AB$9:$AB9,"&gt;0")+1))</f>
        <v/>
      </c>
      <c r="AC10" s="24" t="str">
        <f t="shared" ref="AC10:AC23" si="1">IF(A10="","",IF(AA10&gt;0,"T"&amp;AA10,"E"&amp;AB10))</f>
        <v/>
      </c>
    </row>
    <row r="11" spans="1:29" ht="14.25" customHeight="1" x14ac:dyDescent="0.3">
      <c r="A11" s="15"/>
      <c r="B11" s="15"/>
      <c r="C11" s="16"/>
      <c r="D11" s="16"/>
      <c r="E11" s="16"/>
      <c r="F11" s="15"/>
      <c r="G11" s="16"/>
      <c r="H11" s="15"/>
      <c r="I11" s="16"/>
      <c r="J11" s="17"/>
      <c r="K11" s="23"/>
      <c r="L11" s="15"/>
      <c r="M11" s="18"/>
      <c r="N11" s="15"/>
      <c r="O11" s="19"/>
      <c r="P11" s="21"/>
      <c r="Q11" s="21"/>
      <c r="R11" s="21"/>
      <c r="T11" s="22"/>
      <c r="U11" s="22"/>
      <c r="V11" s="22"/>
      <c r="W11" s="22"/>
      <c r="X11" s="22"/>
      <c r="Y11" s="22" t="str" cm="1">
        <f t="array" ref="Y11">IF(A11="","",(_xlfn.IFS(K11="Yes","HMO",A11="Limited Company","Limited Company",A11&lt;&gt;"Limited Company","Standard")))</f>
        <v/>
      </c>
      <c r="AA11" s="24" t="str">
        <f>IF(A11="","",IF(OR(N11="The Mortgage Works", N11="TMW"),COUNTIF($AA$9:$AA10,"&gt;0")+1,0))</f>
        <v/>
      </c>
      <c r="AB11" s="24" t="str">
        <f>IF(A11="","",IF(OR(N11="The Mortgage Works", N11="TMW"),0,COUNTIF($AB$9:$AB10,"&gt;0")+1))</f>
        <v/>
      </c>
      <c r="AC11" s="24" t="str">
        <f t="shared" si="1"/>
        <v/>
      </c>
    </row>
    <row r="12" spans="1:29" ht="14.25" customHeight="1" x14ac:dyDescent="0.3">
      <c r="A12" s="15"/>
      <c r="B12" s="15"/>
      <c r="C12" s="16"/>
      <c r="D12" s="16"/>
      <c r="E12" s="16"/>
      <c r="F12" s="15"/>
      <c r="G12" s="16"/>
      <c r="H12" s="15"/>
      <c r="I12" s="16"/>
      <c r="J12" s="17"/>
      <c r="K12" s="23"/>
      <c r="L12" s="15"/>
      <c r="M12" s="18"/>
      <c r="N12" s="15"/>
      <c r="O12" s="19"/>
      <c r="P12" s="21"/>
      <c r="Q12" s="21"/>
      <c r="R12" s="21"/>
      <c r="T12" s="22"/>
      <c r="U12" s="22"/>
      <c r="V12" s="22"/>
      <c r="W12" s="22"/>
      <c r="X12" s="22"/>
      <c r="Y12" s="22" t="str" cm="1">
        <f t="array" ref="Y12">IF(A12="","",(_xlfn.IFS(K12="Yes","HMO",A12="Limited Company","Limited Company",A12&lt;&gt;"Limited Company","Standard")))</f>
        <v/>
      </c>
      <c r="AA12" s="24" t="str">
        <f>IF(A12="","",IF(OR(N12="The Mortgage Works", N12="TMW"),COUNTIF($AA$9:$AA11,"&gt;0")+1,0))</f>
        <v/>
      </c>
      <c r="AB12" s="24" t="str">
        <f>IF(A12="","",IF(OR(N12="The Mortgage Works", N12="TMW"),0,COUNTIF($AB$9:$AB11,"&gt;0")+1))</f>
        <v/>
      </c>
      <c r="AC12" s="24" t="str">
        <f t="shared" si="1"/>
        <v/>
      </c>
    </row>
    <row r="13" spans="1:29" ht="14.25" customHeight="1" x14ac:dyDescent="0.3">
      <c r="A13" s="15"/>
      <c r="B13" s="15"/>
      <c r="C13" s="16"/>
      <c r="D13" s="16"/>
      <c r="E13" s="16"/>
      <c r="F13" s="15"/>
      <c r="G13" s="16"/>
      <c r="H13" s="15"/>
      <c r="I13" s="16"/>
      <c r="J13" s="17"/>
      <c r="K13" s="23"/>
      <c r="L13" s="15"/>
      <c r="M13" s="18"/>
      <c r="N13" s="15"/>
      <c r="O13" s="19"/>
      <c r="P13" s="21"/>
      <c r="Q13" s="21"/>
      <c r="R13" s="21"/>
      <c r="T13" s="22"/>
      <c r="U13" s="22"/>
      <c r="V13" s="22"/>
      <c r="W13" s="22"/>
      <c r="X13" s="22"/>
      <c r="Y13" s="22" t="str" cm="1">
        <f t="array" ref="Y13">IF(A13="","",(_xlfn.IFS(K13="Yes","HMO",A13="Limited Company","Limited Company",A13&lt;&gt;"Limited Company","Standard")))</f>
        <v/>
      </c>
      <c r="AA13" s="24" t="str">
        <f>IF(A13="","",IF(OR(N13="The Mortgage Works", N13="TMW"),COUNTIF($AA$9:$AA12,"&gt;0")+1,0))</f>
        <v/>
      </c>
      <c r="AB13" s="24" t="str">
        <f>IF(A13="","",IF(OR(N13="The Mortgage Works", N13="TMW"),0,COUNTIF($AB$9:$AB12,"&gt;0")+1))</f>
        <v/>
      </c>
      <c r="AC13" s="24" t="str">
        <f t="shared" si="1"/>
        <v/>
      </c>
    </row>
    <row r="14" spans="1:29" ht="14.25" customHeight="1" x14ac:dyDescent="0.3">
      <c r="A14" s="15"/>
      <c r="B14" s="15"/>
      <c r="C14" s="16"/>
      <c r="D14" s="16"/>
      <c r="E14" s="16"/>
      <c r="F14" s="15"/>
      <c r="G14" s="16"/>
      <c r="H14" s="15"/>
      <c r="I14" s="16"/>
      <c r="J14" s="17"/>
      <c r="K14" s="23"/>
      <c r="L14" s="15"/>
      <c r="M14" s="18"/>
      <c r="N14" s="15"/>
      <c r="O14" s="19"/>
      <c r="P14" s="21"/>
      <c r="Q14" s="21"/>
      <c r="R14" s="21"/>
      <c r="T14" s="22"/>
      <c r="U14" s="22"/>
      <c r="V14" s="22"/>
      <c r="W14" s="22"/>
      <c r="X14" s="22"/>
      <c r="Y14" s="22" t="str" cm="1">
        <f t="array" ref="Y14">IF(A14="","",(_xlfn.IFS(K14="Yes","HMO",A14="Limited Company","Limited Company",A14&lt;&gt;"Limited Company","Standard")))</f>
        <v/>
      </c>
      <c r="AA14" s="24" t="str">
        <f>IF(A14="","",IF(OR(N14="The Mortgage Works", N14="TMW"),COUNTIF($AA$9:$AA13,"&gt;0")+1,0))</f>
        <v/>
      </c>
      <c r="AB14" s="24" t="str">
        <f>IF(A14="","",IF(OR(N14="The Mortgage Works", N14="TMW"),0,COUNTIF($AB$9:$AB13,"&gt;0")+1))</f>
        <v/>
      </c>
      <c r="AC14" s="24" t="str">
        <f t="shared" si="1"/>
        <v/>
      </c>
    </row>
    <row r="15" spans="1:29" ht="14.25" customHeight="1" x14ac:dyDescent="0.3">
      <c r="A15" s="15"/>
      <c r="B15" s="15"/>
      <c r="C15" s="16"/>
      <c r="D15" s="16"/>
      <c r="E15" s="16"/>
      <c r="F15" s="15"/>
      <c r="G15" s="16"/>
      <c r="H15" s="15"/>
      <c r="I15" s="16"/>
      <c r="J15" s="17"/>
      <c r="K15" s="23"/>
      <c r="L15" s="15"/>
      <c r="M15" s="18"/>
      <c r="N15" s="15"/>
      <c r="O15" s="19"/>
      <c r="P15" s="21"/>
      <c r="Q15" s="21"/>
      <c r="R15" s="21"/>
      <c r="T15" s="22"/>
      <c r="U15" s="22"/>
      <c r="V15" s="22"/>
      <c r="W15" s="22"/>
      <c r="X15" s="22"/>
      <c r="Y15" s="22" t="str" cm="1">
        <f t="array" ref="Y15">IF(A15="","",(_xlfn.IFS(K15="Yes","HMO",A15="Limited Company","Limited Company",A15&lt;&gt;"Limited Company","Standard")))</f>
        <v/>
      </c>
      <c r="AA15" s="24" t="str">
        <f>IF(A15="","",IF(OR(N15="The Mortgage Works", N15="TMW"),COUNTIF($AA$9:$AA14,"&gt;0")+1,0))</f>
        <v/>
      </c>
      <c r="AB15" s="24" t="str">
        <f>IF(A15="","",IF(OR(N15="The Mortgage Works", N15="TMW"),0,COUNTIF($AB$9:$AB14,"&gt;0")+1))</f>
        <v/>
      </c>
      <c r="AC15" s="24" t="str">
        <f t="shared" si="1"/>
        <v/>
      </c>
    </row>
    <row r="16" spans="1:29" ht="14.25" customHeight="1" x14ac:dyDescent="0.3">
      <c r="A16" s="15"/>
      <c r="B16" s="15"/>
      <c r="C16" s="16"/>
      <c r="D16" s="16"/>
      <c r="E16" s="16"/>
      <c r="F16" s="15"/>
      <c r="G16" s="16"/>
      <c r="H16" s="15"/>
      <c r="I16" s="16"/>
      <c r="J16" s="17"/>
      <c r="K16" s="23"/>
      <c r="L16" s="15"/>
      <c r="M16" s="18"/>
      <c r="N16" s="15"/>
      <c r="O16" s="19"/>
      <c r="P16" s="21"/>
      <c r="Q16" s="21"/>
      <c r="R16" s="21"/>
      <c r="T16" s="22"/>
      <c r="U16" s="22"/>
      <c r="V16" s="22"/>
      <c r="W16" s="22"/>
      <c r="X16" s="22"/>
      <c r="Y16" s="22" t="str" cm="1">
        <f t="array" ref="Y16">IF(A16="","",(_xlfn.IFS(K16="Yes","HMO",A16="Limited Company","Limited Company",A16&lt;&gt;"Limited Company","Standard")))</f>
        <v/>
      </c>
      <c r="AA16" s="24" t="str">
        <f>IF(A16="","",IF(OR(N16="The Mortgage Works", N16="TMW"),COUNTIF($AA$9:$AA15,"&gt;0")+1,0))</f>
        <v/>
      </c>
      <c r="AB16" s="24" t="str">
        <f>IF(A16="","",IF(OR(N16="The Mortgage Works", N16="TMW"),0,COUNTIF($AB$9:$AB15,"&gt;0")+1))</f>
        <v/>
      </c>
      <c r="AC16" s="24" t="str">
        <f t="shared" si="1"/>
        <v/>
      </c>
    </row>
    <row r="17" spans="1:29" ht="14.25" customHeight="1" x14ac:dyDescent="0.3">
      <c r="A17" s="15"/>
      <c r="B17" s="15"/>
      <c r="C17" s="16"/>
      <c r="D17" s="16"/>
      <c r="E17" s="16"/>
      <c r="F17" s="15"/>
      <c r="G17" s="16"/>
      <c r="H17" s="15"/>
      <c r="I17" s="16"/>
      <c r="J17" s="17"/>
      <c r="K17" s="23"/>
      <c r="L17" s="15"/>
      <c r="M17" s="18"/>
      <c r="N17" s="15"/>
      <c r="O17" s="19"/>
      <c r="P17" s="21"/>
      <c r="Q17" s="21"/>
      <c r="R17" s="21"/>
      <c r="T17" s="22"/>
      <c r="U17" s="22"/>
      <c r="V17" s="22"/>
      <c r="W17" s="22"/>
      <c r="X17" s="22"/>
      <c r="Y17" s="22" t="str" cm="1">
        <f t="array" ref="Y17">IF(A17="","",(_xlfn.IFS(K17="Yes","HMO",A17="Limited Company","Limited Company",A17&lt;&gt;"Limited Company","Standard")))</f>
        <v/>
      </c>
      <c r="AA17" s="24" t="str">
        <f>IF(A17="","",IF(OR(N17="The Mortgage Works", N17="TMW"),COUNTIF($AA$9:$AA16,"&gt;0")+1,0))</f>
        <v/>
      </c>
      <c r="AB17" s="24" t="str">
        <f>IF(A17="","",IF(OR(N17="The Mortgage Works", N17="TMW"),0,COUNTIF($AB$9:$AB16,"&gt;0")+1))</f>
        <v/>
      </c>
      <c r="AC17" s="24" t="str">
        <f t="shared" si="1"/>
        <v/>
      </c>
    </row>
    <row r="18" spans="1:29" ht="14.25" customHeight="1" x14ac:dyDescent="0.3">
      <c r="A18" s="15"/>
      <c r="B18" s="15"/>
      <c r="C18" s="16"/>
      <c r="D18" s="16"/>
      <c r="E18" s="16"/>
      <c r="F18" s="15"/>
      <c r="G18" s="16"/>
      <c r="H18" s="15"/>
      <c r="I18" s="16"/>
      <c r="J18" s="17"/>
      <c r="K18" s="23"/>
      <c r="L18" s="15"/>
      <c r="M18" s="18"/>
      <c r="N18" s="15"/>
      <c r="O18" s="19"/>
      <c r="P18" s="21"/>
      <c r="Q18" s="21"/>
      <c r="R18" s="21"/>
      <c r="T18" s="22"/>
      <c r="U18" s="22"/>
      <c r="V18" s="22"/>
      <c r="W18" s="22"/>
      <c r="X18" s="22"/>
      <c r="Y18" s="22" t="str" cm="1">
        <f t="array" ref="Y18">IF(A18="","",(_xlfn.IFS(K18="Yes","HMO",A18="Limited Company","Limited Company",A18&lt;&gt;"Limited Company","Standard")))</f>
        <v/>
      </c>
      <c r="AA18" s="24" t="str">
        <f>IF(A18="","",IF(OR(N18="The Mortgage Works", N18="TMW"),COUNTIF($AA$9:$AA17,"&gt;0")+1,0))</f>
        <v/>
      </c>
      <c r="AB18" s="24" t="str">
        <f>IF(A18="","",IF(OR(N18="The Mortgage Works", N18="TMW"),0,COUNTIF($AB$9:$AB17,"&gt;0")+1))</f>
        <v/>
      </c>
      <c r="AC18" s="24" t="str">
        <f t="shared" si="1"/>
        <v/>
      </c>
    </row>
    <row r="19" spans="1:29" ht="14.25" customHeight="1" x14ac:dyDescent="0.3">
      <c r="A19" s="15"/>
      <c r="B19" s="15"/>
      <c r="C19" s="16"/>
      <c r="D19" s="16"/>
      <c r="E19" s="16"/>
      <c r="F19" s="15"/>
      <c r="G19" s="16"/>
      <c r="H19" s="15"/>
      <c r="I19" s="16"/>
      <c r="J19" s="17"/>
      <c r="K19" s="23"/>
      <c r="L19" s="15"/>
      <c r="M19" s="18"/>
      <c r="N19" s="15"/>
      <c r="O19" s="19"/>
      <c r="P19" s="21"/>
      <c r="Q19" s="21"/>
      <c r="R19" s="21"/>
      <c r="T19" s="22"/>
      <c r="U19" s="22"/>
      <c r="V19" s="22"/>
      <c r="W19" s="22"/>
      <c r="X19" s="22"/>
      <c r="Y19" s="22" t="str" cm="1">
        <f t="array" ref="Y19">IF(A19="","",(_xlfn.IFS(K19="Yes","HMO",A19="Limited Company","Limited Company",A19&lt;&gt;"Limited Company","Standard")))</f>
        <v/>
      </c>
      <c r="AA19" s="24" t="str">
        <f>IF(A19="","",IF(OR(N19="The Mortgage Works", N19="TMW"),COUNTIF($AA$9:$AA18,"&gt;0")+1,0))</f>
        <v/>
      </c>
      <c r="AB19" s="24" t="str">
        <f>IF(A19="","",IF(OR(N19="The Mortgage Works", N19="TMW"),0,COUNTIF($AB$9:$AB18,"&gt;0")+1))</f>
        <v/>
      </c>
      <c r="AC19" s="24" t="str">
        <f t="shared" si="1"/>
        <v/>
      </c>
    </row>
    <row r="20" spans="1:29" ht="14.25" customHeight="1" x14ac:dyDescent="0.3">
      <c r="A20" s="15"/>
      <c r="B20" s="15"/>
      <c r="C20" s="16"/>
      <c r="D20" s="16"/>
      <c r="E20" s="16"/>
      <c r="F20" s="15"/>
      <c r="G20" s="16"/>
      <c r="H20" s="15"/>
      <c r="I20" s="16"/>
      <c r="J20" s="17"/>
      <c r="K20" s="23"/>
      <c r="L20" s="15"/>
      <c r="M20" s="18"/>
      <c r="N20" s="15"/>
      <c r="O20" s="19"/>
      <c r="P20" s="21"/>
      <c r="Q20" s="21"/>
      <c r="R20" s="21"/>
      <c r="T20" s="22"/>
      <c r="U20" s="22"/>
      <c r="V20" s="22"/>
      <c r="W20" s="22"/>
      <c r="X20" s="22"/>
      <c r="Y20" s="22" t="str" cm="1">
        <f t="array" ref="Y20">IF(A20="","",(_xlfn.IFS(K20="Yes","HMO",A20="Limited Company","Limited Company",A20&lt;&gt;"Limited Company","Standard")))</f>
        <v/>
      </c>
      <c r="AA20" s="24" t="str">
        <f>IF(A20="","",IF(OR(N20="The Mortgage Works", N20="TMW"),COUNTIF($AA$9:$AA19,"&gt;0")+1,0))</f>
        <v/>
      </c>
      <c r="AB20" s="24" t="str">
        <f>IF(A20="","",IF(OR(N20="The Mortgage Works", N20="TMW"),0,COUNTIF($AB$9:$AB19,"&gt;0")+1))</f>
        <v/>
      </c>
      <c r="AC20" s="24" t="str">
        <f t="shared" si="1"/>
        <v/>
      </c>
    </row>
    <row r="21" spans="1:29" ht="14.25" customHeight="1" x14ac:dyDescent="0.3">
      <c r="A21" s="15"/>
      <c r="B21" s="15"/>
      <c r="C21" s="16"/>
      <c r="D21" s="16"/>
      <c r="E21" s="16"/>
      <c r="F21" s="15"/>
      <c r="G21" s="16"/>
      <c r="H21" s="15"/>
      <c r="I21" s="16"/>
      <c r="J21" s="17"/>
      <c r="K21" s="23"/>
      <c r="L21" s="15"/>
      <c r="M21" s="18"/>
      <c r="N21" s="15"/>
      <c r="O21" s="19"/>
      <c r="P21" s="21"/>
      <c r="Q21" s="21"/>
      <c r="R21" s="21"/>
      <c r="T21" s="22"/>
      <c r="U21" s="22"/>
      <c r="V21" s="22"/>
      <c r="W21" s="22"/>
      <c r="X21" s="22"/>
      <c r="Y21" s="22" t="str" cm="1">
        <f t="array" ref="Y21">IF(A21="","",(_xlfn.IFS(K21="Yes","HMO",A21="Limited Company","Limited Company",A21&lt;&gt;"Limited Company","Standard")))</f>
        <v/>
      </c>
      <c r="AA21" s="24" t="str">
        <f>IF(A21="","",IF(OR(N21="The Mortgage Works", N21="TMW"),COUNTIF($AA$9:$AA20,"&gt;0")+1,0))</f>
        <v/>
      </c>
      <c r="AB21" s="24" t="str">
        <f>IF(A21="","",IF(OR(N21="The Mortgage Works", N21="TMW"),0,COUNTIF($AB$9:$AB20,"&gt;0")+1))</f>
        <v/>
      </c>
      <c r="AC21" s="24" t="str">
        <f t="shared" si="1"/>
        <v/>
      </c>
    </row>
    <row r="22" spans="1:29" ht="14.25" customHeight="1" x14ac:dyDescent="0.3">
      <c r="A22" s="15"/>
      <c r="B22" s="15"/>
      <c r="C22" s="16"/>
      <c r="D22" s="16"/>
      <c r="E22" s="16"/>
      <c r="F22" s="15"/>
      <c r="G22" s="16"/>
      <c r="H22" s="15"/>
      <c r="I22" s="16"/>
      <c r="J22" s="17"/>
      <c r="K22" s="23"/>
      <c r="L22" s="15"/>
      <c r="M22" s="18"/>
      <c r="N22" s="15"/>
      <c r="O22" s="19"/>
      <c r="P22" s="21"/>
      <c r="Q22" s="21"/>
      <c r="R22" s="21"/>
      <c r="T22" s="22"/>
      <c r="U22" s="22"/>
      <c r="V22" s="22"/>
      <c r="W22" s="22"/>
      <c r="X22" s="22"/>
      <c r="Y22" s="22" t="str" cm="1">
        <f t="array" ref="Y22">IF(A22="","",(_xlfn.IFS(K22="Yes","HMO",A22="Limited Company","Limited Company",A22&lt;&gt;"Limited Company","Standard")))</f>
        <v/>
      </c>
      <c r="AA22" s="24" t="str">
        <f>IF(A22="","",IF(OR(N22="The Mortgage Works", N22="TMW"),COUNTIF($AA$9:$AA21,"&gt;0")+1,0))</f>
        <v/>
      </c>
      <c r="AB22" s="24" t="str">
        <f>IF(A22="","",IF(OR(N22="The Mortgage Works", N22="TMW"),0,COUNTIF($AB$9:$AB21,"&gt;0")+1))</f>
        <v/>
      </c>
      <c r="AC22" s="24" t="str">
        <f t="shared" si="1"/>
        <v/>
      </c>
    </row>
    <row r="23" spans="1:29" ht="14.25" customHeight="1" x14ac:dyDescent="0.3">
      <c r="A23" s="15"/>
      <c r="B23" s="15"/>
      <c r="C23" s="16"/>
      <c r="D23" s="16"/>
      <c r="E23" s="16"/>
      <c r="F23" s="15"/>
      <c r="G23" s="16"/>
      <c r="H23" s="15"/>
      <c r="I23" s="16"/>
      <c r="J23" s="17"/>
      <c r="K23" s="23"/>
      <c r="L23" s="15"/>
      <c r="M23" s="18"/>
      <c r="N23" s="15"/>
      <c r="O23" s="19"/>
      <c r="P23" s="21"/>
      <c r="Q23" s="21"/>
      <c r="R23" s="21"/>
      <c r="T23" s="22"/>
      <c r="U23" s="22"/>
      <c r="V23" s="22"/>
      <c r="W23" s="22"/>
      <c r="X23" s="22"/>
      <c r="Y23" s="22" t="str" cm="1">
        <f t="array" ref="Y23">IF(A23="","",(_xlfn.IFS(K23="Yes","HMO",A23="Limited Company","Limited Company",A23&lt;&gt;"Limited Company","Standard")))</f>
        <v/>
      </c>
      <c r="AA23" s="24" t="str">
        <f>IF(A23="","",IF(OR(N23="The Mortgage Works", N23="TMW"),COUNTIF($AA$9:$AA22,"&gt;0")+1,0))</f>
        <v/>
      </c>
      <c r="AB23" s="24" t="str">
        <f>IF(A23="","",IF(OR(N23="The Mortgage Works", N23="TMW"),0,COUNTIF($AB$9:$AB22,"&gt;0")+1))</f>
        <v/>
      </c>
      <c r="AC23" s="24" t="str">
        <f t="shared" si="1"/>
        <v/>
      </c>
    </row>
    <row r="24" spans="1:29" s="11" customFormat="1" ht="14.25" customHeight="1" x14ac:dyDescent="0.25">
      <c r="A24" s="161" t="s">
        <v>43</v>
      </c>
      <c r="B24" s="162"/>
      <c r="C24" s="162"/>
      <c r="D24" s="162"/>
      <c r="E24" s="162"/>
      <c r="F24" s="162"/>
      <c r="G24" s="162"/>
      <c r="H24" s="162"/>
      <c r="I24" s="162"/>
      <c r="J24" s="162"/>
      <c r="K24" s="162"/>
      <c r="L24" s="163"/>
      <c r="M24" s="25">
        <f>SUM(M9:M23)</f>
        <v>0</v>
      </c>
      <c r="N24" s="26"/>
      <c r="O24" s="25">
        <f>SUM(O9:O23)</f>
        <v>0</v>
      </c>
      <c r="P24" s="27">
        <f>SUM(P9:P23)</f>
        <v>0</v>
      </c>
      <c r="Q24" s="28"/>
      <c r="R24" s="27">
        <f>SUM(R9:R23)</f>
        <v>0</v>
      </c>
    </row>
    <row r="25" spans="1:29" ht="14" x14ac:dyDescent="0.3">
      <c r="M25" s="29"/>
      <c r="O25" s="29"/>
      <c r="P25" s="29"/>
      <c r="Q25" s="29"/>
      <c r="R25" s="29"/>
      <c r="S25" s="29"/>
      <c r="T25" s="29"/>
      <c r="U25" s="29"/>
      <c r="V25" s="29"/>
      <c r="W25" s="29"/>
      <c r="X25" s="29"/>
    </row>
    <row r="26" spans="1:29" ht="14" hidden="1" x14ac:dyDescent="0.3"/>
    <row r="27" spans="1:29" ht="14" hidden="1" x14ac:dyDescent="0.3">
      <c r="P27" s="4" t="s">
        <v>44</v>
      </c>
    </row>
    <row r="28" spans="1:29" ht="14" hidden="1" x14ac:dyDescent="0.3"/>
    <row r="29" spans="1:29" ht="14" hidden="1" x14ac:dyDescent="0.3"/>
    <row r="30" spans="1:29" ht="14" hidden="1" x14ac:dyDescent="0.3"/>
    <row r="31" spans="1:29" ht="14" hidden="1" x14ac:dyDescent="0.3"/>
    <row r="32" spans="1:29" ht="14" hidden="1" x14ac:dyDescent="0.3"/>
    <row r="33" ht="14" hidden="1" x14ac:dyDescent="0.3"/>
    <row r="34" ht="14" hidden="1" x14ac:dyDescent="0.3"/>
    <row r="35" ht="14" hidden="1" x14ac:dyDescent="0.3"/>
    <row r="36" ht="14" hidden="1" x14ac:dyDescent="0.3"/>
    <row r="37" ht="14" hidden="1" x14ac:dyDescent="0.3"/>
    <row r="38" ht="14" hidden="1" x14ac:dyDescent="0.3"/>
  </sheetData>
  <sheetProtection algorithmName="SHA-512" hashValue="GWHwz5g9JTevOJphtx1UdbxTnYiyMwt0X8lBoC/+TfFL9jFAYxw0p53i+MFYkU/C+87q3gf2pKKMVYyzWTUxOQ==" saltValue="OTg5q3vSXXxz7pqfYo6TZQ==" spinCount="100000" sheet="1" objects="1" scenarios="1" selectLockedCells="1"/>
  <mergeCells count="6">
    <mergeCell ref="A24:L24"/>
    <mergeCell ref="D1:M1"/>
    <mergeCell ref="A3:P3"/>
    <mergeCell ref="K4:K7"/>
    <mergeCell ref="P4:P7"/>
    <mergeCell ref="A8:P8"/>
  </mergeCells>
  <conditionalFormatting sqref="B9:B23">
    <cfRule type="expression" dxfId="25" priority="4">
      <formula>IF($A9="",FALSE,IF(OR(AND($A9 = "Limited Company",$B9=""),AND($A9 &lt;&gt; "Limited Company",$B9&lt;&gt;"")),TRUE,FALSE))</formula>
    </cfRule>
  </conditionalFormatting>
  <conditionalFormatting sqref="N4:N7 N9:N23">
    <cfRule type="expression" dxfId="24" priority="5">
      <formula>IF($A4="",FALSE,IF(OR(AND($M4=0,$N4&lt;&gt;""),AND($M4&lt;&gt;0, $N4="")),TRUE,FALSE))</formula>
    </cfRule>
  </conditionalFormatting>
  <conditionalFormatting sqref="O9:O23">
    <cfRule type="expression" dxfId="23" priority="8">
      <formula>$W9&gt;0</formula>
    </cfRule>
  </conditionalFormatting>
  <conditionalFormatting sqref="P9:P23">
    <cfRule type="expression" dxfId="22" priority="7">
      <formula>$X9&gt;0</formula>
    </cfRule>
  </conditionalFormatting>
  <conditionalFormatting sqref="R4:R7 R9:R23">
    <cfRule type="expression" dxfId="21" priority="6">
      <formula>IF($A4="",FALSE,IF(OR(AND($M4=0,$R4&gt;0),AND($M4&gt;0,$R4=0)),TRUE,FALSE))</formula>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3756CA6-1164-470C-AAF4-186589E16C66}">
          <x14:formula1>
            <xm:f>Lookups!$A$21:$A$31</xm:f>
          </x14:formula1>
          <xm:sqref>L4:L7 L9:L23</xm:sqref>
        </x14:dataValidation>
        <x14:dataValidation type="list" allowBlank="1" showInputMessage="1" showErrorMessage="1" xr:uid="{C147299F-B6AA-4E42-A0DC-0FD6DB1D4B02}">
          <x14:formula1>
            <xm:f>Lookups!$B$21:$B$36</xm:f>
          </x14:formula1>
          <xm:sqref>A4:A7 A9:A23</xm:sqref>
        </x14:dataValidation>
        <x14:dataValidation type="list" allowBlank="1" showInputMessage="1" showErrorMessage="1" xr:uid="{04507E08-B855-4905-A535-FBC5632B14CB}">
          <x14:formula1>
            <xm:f>Lookups!$C$21:$C$22</xm:f>
          </x14:formula1>
          <xm:sqref>K9:K23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D1912-8981-477C-ACD3-D52650F6839F}">
  <sheetPr codeName="PilotPortfolioToolSheet">
    <tabColor rgb="FF124444"/>
    <pageSetUpPr autoPageBreaks="0" fitToPage="1"/>
  </sheetPr>
  <dimension ref="A1:BU222"/>
  <sheetViews>
    <sheetView showGridLines="0" topLeftCell="E8" zoomScaleNormal="100" workbookViewId="0">
      <selection activeCell="T21" sqref="T21"/>
    </sheetView>
  </sheetViews>
  <sheetFormatPr defaultColWidth="0" defaultRowHeight="15" customHeight="1" zeroHeight="1" x14ac:dyDescent="0.35"/>
  <cols>
    <col min="1" max="2" width="18" style="33" hidden="1" customWidth="1"/>
    <col min="3" max="3" width="9.1796875" style="33" hidden="1" customWidth="1"/>
    <col min="4" max="4" width="8" style="33" hidden="1" customWidth="1"/>
    <col min="5" max="5" width="4.7265625" style="33" customWidth="1"/>
    <col min="6" max="6" width="40.7265625" style="33" customWidth="1"/>
    <col min="7" max="7" width="16.81640625" style="33" hidden="1" customWidth="1"/>
    <col min="8" max="8" width="0.81640625" style="33" customWidth="1"/>
    <col min="9" max="9" width="16.81640625" style="33" customWidth="1"/>
    <col min="10" max="10" width="0.81640625" style="33" customWidth="1"/>
    <col min="11" max="14" width="10.54296875" style="33" customWidth="1"/>
    <col min="15" max="15" width="0.81640625" style="33" customWidth="1"/>
    <col min="16" max="16" width="22.54296875" style="33" customWidth="1"/>
    <col min="17" max="17" width="0.81640625" style="33" customWidth="1"/>
    <col min="18" max="18" width="22.7265625" style="33" customWidth="1"/>
    <col min="19" max="19" width="0.81640625" style="33" customWidth="1"/>
    <col min="20" max="20" width="23.453125" style="33" customWidth="1"/>
    <col min="21" max="21" width="0.81640625" style="33" customWidth="1"/>
    <col min="22" max="22" width="21.7265625" style="33" customWidth="1"/>
    <col min="23" max="23" width="0.81640625" style="33" customWidth="1"/>
    <col min="24" max="24" width="18.7265625" style="33" customWidth="1"/>
    <col min="25" max="25" width="0.81640625" style="33" customWidth="1"/>
    <col min="26" max="26" width="17.7265625" style="33" customWidth="1"/>
    <col min="27" max="27" width="12.54296875" style="33" customWidth="1"/>
    <col min="28" max="28" width="4.7265625" style="33" customWidth="1"/>
    <col min="29" max="29" width="17.81640625" style="33" hidden="1" customWidth="1"/>
    <col min="30" max="30" width="11" style="33" hidden="1" customWidth="1"/>
    <col min="31" max="31" width="14" style="33" hidden="1" customWidth="1"/>
    <col min="32" max="32" width="5" style="33" hidden="1" customWidth="1"/>
    <col min="33" max="33" width="16.7265625" style="33" hidden="1" customWidth="1"/>
    <col min="34" max="34" width="15.453125" style="33" hidden="1" customWidth="1"/>
    <col min="35" max="35" width="16.7265625" style="33" hidden="1" customWidth="1"/>
    <col min="36" max="36" width="14.453125" style="33" hidden="1" customWidth="1"/>
    <col min="37" max="37" width="16.81640625" style="33" hidden="1" customWidth="1"/>
    <col min="38" max="38" width="14" style="33" hidden="1" customWidth="1"/>
    <col min="39" max="39" width="7.7265625" style="33" hidden="1" customWidth="1"/>
    <col min="40" max="42" width="14" style="33" hidden="1" customWidth="1"/>
    <col min="43" max="43" width="7.26953125" style="33" hidden="1" customWidth="1"/>
    <col min="44" max="44" width="10.7265625" style="33" hidden="1" customWidth="1"/>
    <col min="45" max="47" width="10.81640625" style="33" hidden="1" customWidth="1"/>
    <col min="48" max="48" width="13" style="33" hidden="1" customWidth="1"/>
    <col min="49" max="49" width="9.1796875" style="33" hidden="1" customWidth="1"/>
    <col min="50" max="50" width="22.1796875" style="33" hidden="1" customWidth="1"/>
    <col min="51" max="51" width="12.81640625" style="33" hidden="1" customWidth="1"/>
    <col min="52" max="52" width="9.1796875" style="33" hidden="1" customWidth="1"/>
    <col min="53" max="53" width="16.453125" style="33" hidden="1" customWidth="1"/>
    <col min="54" max="54" width="16.1796875" style="33" hidden="1" customWidth="1"/>
    <col min="55" max="55" width="9.1796875" style="33" hidden="1" customWidth="1"/>
    <col min="56" max="57" width="9.81640625" style="33" hidden="1" customWidth="1"/>
    <col min="58" max="58" width="11.1796875" style="33" hidden="1" customWidth="1"/>
    <col min="59" max="59" width="9.81640625" style="33" hidden="1" customWidth="1"/>
    <col min="60" max="60" width="11" style="33" hidden="1" customWidth="1"/>
    <col min="61" max="61" width="9.81640625" style="33" hidden="1" customWidth="1"/>
    <col min="62" max="62" width="10.26953125" style="33" hidden="1" customWidth="1"/>
    <col min="63" max="63" width="13.54296875" style="33" hidden="1" customWidth="1"/>
    <col min="64" max="64" width="13.1796875" style="33" hidden="1" customWidth="1"/>
    <col min="65" max="65" width="9.1796875" style="33" hidden="1" customWidth="1"/>
    <col min="66" max="66" width="15.26953125" style="33" hidden="1" customWidth="1"/>
    <col min="67" max="67" width="17.1796875" style="33" hidden="1" customWidth="1"/>
    <col min="68" max="68" width="18.81640625" style="33" hidden="1" customWidth="1"/>
    <col min="69" max="69" width="13.1796875" style="33" hidden="1" customWidth="1"/>
    <col min="70" max="70" width="9.1796875" style="33" hidden="1" customWidth="1"/>
    <col min="71" max="73" width="31.1796875" style="33" hidden="1" customWidth="1"/>
    <col min="74" max="16384" width="9.1796875" style="33" hidden="1"/>
  </cols>
  <sheetData>
    <row r="1" spans="1:71" ht="16.5" customHeight="1" x14ac:dyDescent="0.3">
      <c r="E1" s="34"/>
      <c r="S1" s="4"/>
      <c r="V1" s="35"/>
      <c r="W1" s="35"/>
      <c r="X1" s="35"/>
      <c r="Y1" s="35"/>
      <c r="AA1" s="33" t="s">
        <v>45</v>
      </c>
    </row>
    <row r="2" spans="1:71" ht="27" customHeight="1" x14ac:dyDescent="0.35">
      <c r="A2" s="34"/>
      <c r="K2" s="197" t="s">
        <v>46</v>
      </c>
      <c r="L2" s="197"/>
      <c r="M2" s="197"/>
      <c r="P2" s="132" t="s">
        <v>47</v>
      </c>
      <c r="Q2" s="36"/>
      <c r="R2" s="131" t="s">
        <v>48</v>
      </c>
      <c r="S2" s="36"/>
      <c r="T2" s="133" t="s">
        <v>49</v>
      </c>
      <c r="U2"/>
      <c r="V2"/>
      <c r="Z2" s="198" t="s">
        <v>50</v>
      </c>
      <c r="AA2" s="198"/>
      <c r="AC2" s="37" t="s">
        <v>51</v>
      </c>
      <c r="AG2" s="37" t="s">
        <v>52</v>
      </c>
      <c r="AH2" s="38">
        <f>SUM(ValueArray)</f>
        <v>0</v>
      </c>
      <c r="AI2" s="39"/>
      <c r="AJ2" s="39"/>
      <c r="AK2" s="37" t="s">
        <v>53</v>
      </c>
      <c r="AL2" s="38" cm="1">
        <f t="array" ref="AL2">SUM(MortgageArray)+SUMPRODUCT(CapRaiseArray,--(OrderOfSubArray&gt;0))</f>
        <v>0</v>
      </c>
    </row>
    <row r="3" spans="1:71" ht="27" customHeight="1" x14ac:dyDescent="0.35">
      <c r="K3" s="40" t="s">
        <v>54</v>
      </c>
      <c r="L3" s="41" t="s">
        <v>55</v>
      </c>
      <c r="M3" s="40" t="s">
        <v>56</v>
      </c>
      <c r="P3" s="200">
        <f>SUMIF(OriginalLenderArray,"T",MortgageArray)</f>
        <v>0</v>
      </c>
      <c r="Q3" s="201"/>
      <c r="R3" s="202" cm="1">
        <f t="array" ref="R3">SUMPRODUCT(WithTMWArray,MortgageArray)+SUMPRODUCT(WithTMWArray,CapRaiseArray,--(OrderOfSubArray&gt;0))</f>
        <v>0</v>
      </c>
      <c r="S3" s="201"/>
      <c r="T3" s="128">
        <f>FLOOR(Lookups!$B$18,100)</f>
        <v>0</v>
      </c>
      <c r="U3"/>
      <c r="V3"/>
      <c r="Z3" s="199"/>
      <c r="AA3" s="199"/>
      <c r="AC3" s="42">
        <v>750000</v>
      </c>
      <c r="AG3" s="37" t="s">
        <v>57</v>
      </c>
      <c r="AH3" s="38">
        <f>SUM(RentalArray)</f>
        <v>0</v>
      </c>
      <c r="AK3" s="37" t="s">
        <v>58</v>
      </c>
      <c r="AL3" s="43" cm="1">
        <f t="array" ref="AL3">COUNTIF(MortgageArray,"&gt;0")+SUMPRODUCT(--(OrderOfSubArray&gt;0),--(MortgageArray=0))</f>
        <v>0</v>
      </c>
    </row>
    <row r="4" spans="1:71" ht="27" customHeight="1" x14ac:dyDescent="0.3">
      <c r="K4" s="44" t="e">
        <f>SUM(MortgageArray)/SUM(ValueArray)</f>
        <v>#DIV/0!</v>
      </c>
      <c r="L4" s="44" t="e">
        <f>Port_Bal/Port_Val</f>
        <v>#DIV/0!</v>
      </c>
      <c r="M4" s="40">
        <f>Port_LTVCap</f>
        <v>0.75</v>
      </c>
      <c r="O4" s="45"/>
      <c r="P4" s="46"/>
      <c r="S4" s="4"/>
      <c r="Z4" s="47" t="s">
        <v>59</v>
      </c>
      <c r="AA4" s="48">
        <f>FLOOR(MAX(0,MIN($AC$4-$R$3,$T$3)),100)</f>
        <v>0</v>
      </c>
      <c r="AC4" s="42">
        <v>1000000</v>
      </c>
    </row>
    <row r="5" spans="1:71" ht="27" customHeight="1" x14ac:dyDescent="0.35">
      <c r="F5" s="4"/>
      <c r="G5" s="4"/>
      <c r="H5" s="4"/>
      <c r="I5" s="4"/>
      <c r="J5" s="4"/>
      <c r="K5" s="197" t="str">
        <f>CONCATENATE("Aggregate Portfolio Interest Cover Ratio (ICR)"," (",TEXT(Port_Stress,"0.00%"),") ")</f>
        <v xml:space="preserve">Aggregate Portfolio Interest Cover Ratio (ICR) (4.75%) </v>
      </c>
      <c r="L5" s="197"/>
      <c r="M5" s="197"/>
      <c r="O5" s="49"/>
      <c r="P5" s="203" t="s">
        <v>60</v>
      </c>
      <c r="Q5" s="204"/>
      <c r="R5" s="205"/>
      <c r="S5"/>
      <c r="T5" s="203" t="s">
        <v>61</v>
      </c>
      <c r="U5" s="204"/>
      <c r="V5" s="205"/>
      <c r="Z5" s="50" t="s">
        <v>62</v>
      </c>
      <c r="AA5" s="48">
        <f>FLOOR(MAX(0,MIN($AC$5-$R$3,$T$3)),100)</f>
        <v>0</v>
      </c>
      <c r="AC5" s="42">
        <v>1500000</v>
      </c>
    </row>
    <row r="6" spans="1:71" ht="27" customHeight="1" x14ac:dyDescent="0.35">
      <c r="F6" s="4"/>
      <c r="G6" s="4"/>
      <c r="H6" s="4"/>
      <c r="I6" s="4"/>
      <c r="J6" s="4"/>
      <c r="K6" s="40" t="s">
        <v>54</v>
      </c>
      <c r="L6" s="41" t="s">
        <v>55</v>
      </c>
      <c r="M6" s="40" t="s">
        <v>63</v>
      </c>
      <c r="P6" s="182" t="s">
        <v>64</v>
      </c>
      <c r="Q6" s="183"/>
      <c r="R6" s="184"/>
      <c r="S6"/>
      <c r="T6" s="185" t="s">
        <v>65</v>
      </c>
      <c r="U6" s="186"/>
      <c r="V6" s="187"/>
      <c r="Z6" s="50" t="s">
        <v>66</v>
      </c>
      <c r="AA6" s="48">
        <f>FLOOR(MAX(0,MIN($AC$6-$R$3,$T$3)),100)</f>
        <v>0</v>
      </c>
      <c r="AB6" s="39"/>
      <c r="AC6" s="42">
        <v>2000000</v>
      </c>
      <c r="AE6" s="39"/>
      <c r="AF6" s="39"/>
      <c r="AG6" s="39"/>
      <c r="AH6" s="39"/>
      <c r="AI6" s="39"/>
      <c r="AJ6" s="39"/>
      <c r="AK6" s="39"/>
      <c r="AL6" s="39"/>
      <c r="AM6" s="39"/>
      <c r="AN6" s="39"/>
      <c r="AO6" s="39"/>
      <c r="AP6" s="39"/>
    </row>
    <row r="7" spans="1:71" ht="27" customHeight="1" x14ac:dyDescent="0.35">
      <c r="K7" s="40" t="e">
        <f>SUM(RentalArray)*12/Port_Stress/SUM(MortgageArray)</f>
        <v>#DIV/0!</v>
      </c>
      <c r="L7" s="40" t="e">
        <f>Port_Rent*12/Port_Stress/Port_Bal</f>
        <v>#DIV/0!</v>
      </c>
      <c r="M7" s="40">
        <f>Lookups!E14</f>
        <v>1.45</v>
      </c>
      <c r="P7" s="51" t="s">
        <v>67</v>
      </c>
      <c r="Q7" s="52"/>
      <c r="R7" s="53" t="s">
        <v>68</v>
      </c>
      <c r="S7"/>
      <c r="T7" s="188"/>
      <c r="U7" s="189"/>
      <c r="V7" s="190"/>
      <c r="Z7" s="50" t="s">
        <v>69</v>
      </c>
      <c r="AA7" s="48">
        <f>FLOOR(MAX(0,MIN($AC$7-$R$3,$T$3)),100)</f>
        <v>0</v>
      </c>
      <c r="AC7" s="42">
        <v>5000000</v>
      </c>
      <c r="AS7" s="194" t="s">
        <v>70</v>
      </c>
      <c r="AT7" s="195"/>
      <c r="AU7" s="195"/>
      <c r="AV7" s="196"/>
      <c r="AX7" s="194" t="s">
        <v>71</v>
      </c>
      <c r="AY7" s="196"/>
      <c r="BA7" s="194" t="s">
        <v>72</v>
      </c>
      <c r="BB7" s="196"/>
    </row>
    <row r="8" spans="1:71" ht="36" customHeight="1" x14ac:dyDescent="0.35">
      <c r="P8" s="54">
        <v>4.4999999999999998E-2</v>
      </c>
      <c r="Q8" s="55"/>
      <c r="R8" s="56">
        <v>4.4999999999999998E-2</v>
      </c>
      <c r="S8"/>
      <c r="T8" s="191"/>
      <c r="U8" s="192"/>
      <c r="V8" s="193"/>
      <c r="Z8"/>
      <c r="AA8"/>
      <c r="AD8" s="33" t="s">
        <v>73</v>
      </c>
      <c r="AE8" s="57">
        <f>MAX(PortTool_FARate,PortTool_MinLoanStressRate)</f>
        <v>4.4999999999999998E-2</v>
      </c>
      <c r="AR8" s="58">
        <v>0.8</v>
      </c>
      <c r="AS8" s="58">
        <v>0.75</v>
      </c>
      <c r="AT8" s="58">
        <v>0.7</v>
      </c>
      <c r="AU8" s="58">
        <v>0.65</v>
      </c>
      <c r="AV8" s="58">
        <v>0.6</v>
      </c>
      <c r="AX8" s="58">
        <f>Lookups!H8</f>
        <v>0.75</v>
      </c>
      <c r="AY8" s="58">
        <f>Lookups!H9</f>
        <v>0.75</v>
      </c>
      <c r="BA8" s="57">
        <f>Lookups!I8</f>
        <v>4.7500000000000001E-2</v>
      </c>
      <c r="BB8" s="57">
        <f>Lookups!I9</f>
        <v>4.7500000000000001E-2</v>
      </c>
    </row>
    <row r="9" spans="1:71" customFormat="1" ht="15.75" customHeight="1" x14ac:dyDescent="0.35">
      <c r="AC9" s="58">
        <f>Lookups!E16</f>
        <v>0.75</v>
      </c>
      <c r="AD9" s="33" t="s">
        <v>74</v>
      </c>
      <c r="AE9" s="57">
        <f>MAX(PortTool_ProductStressRate,PortTool_MinLoanStressRate)</f>
        <v>4.4999999999999998E-2</v>
      </c>
      <c r="AF9" s="4"/>
      <c r="AG9" s="4"/>
      <c r="AH9" s="4"/>
      <c r="AI9" s="4"/>
      <c r="AJ9" s="4"/>
      <c r="AK9" s="4"/>
      <c r="AL9" s="4"/>
      <c r="AM9" s="4"/>
      <c r="AN9" s="4"/>
      <c r="AO9" s="4"/>
      <c r="AP9" s="4"/>
      <c r="AQ9" s="33"/>
      <c r="AR9" s="59">
        <v>750000</v>
      </c>
      <c r="AS9" s="59">
        <v>1000000</v>
      </c>
      <c r="AT9" s="59">
        <v>1500000</v>
      </c>
      <c r="AU9" s="59">
        <v>2000000</v>
      </c>
      <c r="AV9" s="59">
        <v>5000000</v>
      </c>
      <c r="AW9" s="33"/>
      <c r="AX9" s="59">
        <v>1000000</v>
      </c>
      <c r="AY9" s="33"/>
      <c r="AZ9" s="33"/>
      <c r="BA9" s="59">
        <v>1000000</v>
      </c>
      <c r="BB9" s="33"/>
      <c r="BC9" s="33"/>
      <c r="BD9" s="33"/>
      <c r="BE9" s="33"/>
      <c r="BF9" s="33"/>
      <c r="BG9" s="33"/>
      <c r="BH9" s="33"/>
      <c r="BI9" s="33"/>
      <c r="BJ9" s="33"/>
      <c r="BK9" s="33"/>
      <c r="BL9" s="33"/>
      <c r="BM9" s="33"/>
      <c r="BN9" s="33"/>
      <c r="BO9" s="33"/>
      <c r="BP9" s="33"/>
      <c r="BQ9" s="33"/>
      <c r="BR9" s="33"/>
      <c r="BS9" s="33"/>
    </row>
    <row r="10" spans="1:71" ht="5.25" customHeight="1" x14ac:dyDescent="0.35">
      <c r="P10"/>
      <c r="Q10"/>
      <c r="R10"/>
      <c r="S10"/>
      <c r="T10" s="60"/>
      <c r="U10" s="60"/>
      <c r="V10" s="60"/>
      <c r="AC10" s="61"/>
      <c r="AE10" s="62"/>
      <c r="AF10" s="4"/>
      <c r="AG10" s="4"/>
      <c r="AH10" s="4"/>
      <c r="AI10" s="4"/>
      <c r="AJ10" s="4"/>
      <c r="AK10" s="4"/>
      <c r="AL10" s="4"/>
      <c r="AM10" s="4"/>
      <c r="AN10" s="4"/>
      <c r="AO10" s="4"/>
      <c r="AP10" s="4"/>
    </row>
    <row r="11" spans="1:71" s="63" customFormat="1" ht="74.25" customHeight="1" x14ac:dyDescent="0.3">
      <c r="A11" s="37" t="s">
        <v>27</v>
      </c>
      <c r="B11" s="37" t="s">
        <v>75</v>
      </c>
      <c r="C11" s="37" t="s">
        <v>76</v>
      </c>
      <c r="D11" s="37" t="s">
        <v>77</v>
      </c>
      <c r="F11" s="64" t="s">
        <v>78</v>
      </c>
      <c r="G11" s="37" t="s">
        <v>24</v>
      </c>
      <c r="H11" s="33"/>
      <c r="I11" s="64" t="s">
        <v>79</v>
      </c>
      <c r="J11" s="33"/>
      <c r="K11" s="64" t="s">
        <v>16</v>
      </c>
      <c r="L11" s="64" t="s">
        <v>15</v>
      </c>
      <c r="M11" s="64" t="s">
        <v>80</v>
      </c>
      <c r="N11" s="64" t="s">
        <v>81</v>
      </c>
      <c r="O11" s="33"/>
      <c r="P11" s="65" t="str">
        <f>_xlfn.CONCAT("Like for Like available at ",100*PortTool_ProductStressRate,"% stress rate")</f>
        <v>Like for Like available at 4.5% stress rate</v>
      </c>
      <c r="Q11" s="66"/>
      <c r="R11" s="67" t="str">
        <f>_xlfn.CONCAT("Additional capital raising available at ",100*PortTool_ProductStressRate,"% stress rate")</f>
        <v>Additional capital raising available at 4.5% stress rate</v>
      </c>
      <c r="S11" s="66"/>
      <c r="T11" s="65" t="s">
        <v>82</v>
      </c>
      <c r="U11" s="68"/>
      <c r="V11" s="69" t="s">
        <v>83</v>
      </c>
      <c r="W11" s="66"/>
      <c r="X11" s="70" t="s">
        <v>84</v>
      </c>
      <c r="Y11" s="66"/>
      <c r="Z11" s="64" t="s">
        <v>85</v>
      </c>
      <c r="AA11" s="64" t="s">
        <v>86</v>
      </c>
      <c r="AB11" s="71"/>
      <c r="AC11" s="37" t="s">
        <v>87</v>
      </c>
      <c r="AD11" s="37" t="s">
        <v>88</v>
      </c>
      <c r="AE11" s="37" t="s">
        <v>89</v>
      </c>
      <c r="AF11" s="72"/>
      <c r="AG11" s="37" t="s">
        <v>90</v>
      </c>
      <c r="AH11" s="37" t="s">
        <v>91</v>
      </c>
      <c r="AI11" s="37" t="s">
        <v>92</v>
      </c>
      <c r="AJ11" s="37" t="s">
        <v>93</v>
      </c>
      <c r="AK11" s="37" t="s">
        <v>94</v>
      </c>
      <c r="AL11" s="37" t="s">
        <v>95</v>
      </c>
      <c r="AM11" s="73"/>
      <c r="AN11" s="37" t="s">
        <v>96</v>
      </c>
      <c r="AO11" s="37" t="s">
        <v>97</v>
      </c>
      <c r="AP11" s="37" t="s">
        <v>98</v>
      </c>
      <c r="AR11" s="37" t="s">
        <v>99</v>
      </c>
      <c r="AS11" s="37" t="s">
        <v>100</v>
      </c>
      <c r="AT11" s="37" t="s">
        <v>101</v>
      </c>
      <c r="AU11" s="37" t="s">
        <v>102</v>
      </c>
      <c r="AV11" s="37" t="s">
        <v>103</v>
      </c>
      <c r="AX11" s="37" t="s">
        <v>104</v>
      </c>
      <c r="AY11" s="37" t="s">
        <v>105</v>
      </c>
      <c r="AZ11" s="74"/>
      <c r="BA11" s="37" t="s">
        <v>106</v>
      </c>
      <c r="BB11" s="37" t="s">
        <v>107</v>
      </c>
      <c r="BC11" s="74"/>
      <c r="BD11" s="37" t="s">
        <v>89</v>
      </c>
      <c r="BE11" s="37" t="s">
        <v>87</v>
      </c>
      <c r="BF11" s="37" t="s">
        <v>108</v>
      </c>
      <c r="BG11" s="37" t="s">
        <v>109</v>
      </c>
      <c r="BH11" s="37" t="s">
        <v>110</v>
      </c>
      <c r="BI11" s="37" t="s">
        <v>111</v>
      </c>
      <c r="BJ11" s="37" t="s">
        <v>112</v>
      </c>
      <c r="BK11" s="37" t="s">
        <v>113</v>
      </c>
      <c r="BL11" s="37" t="s">
        <v>114</v>
      </c>
      <c r="BN11" s="37" t="s">
        <v>115</v>
      </c>
      <c r="BO11" s="37" t="s">
        <v>116</v>
      </c>
      <c r="BP11" s="37" t="s">
        <v>117</v>
      </c>
      <c r="BQ11" s="37" t="s">
        <v>118</v>
      </c>
      <c r="BS11" s="37" t="str">
        <f>_xlfn.CONCAT("Additional Capital Raising Available at ",100*PortTool_ProductStressRate,"% Stress Rate")</f>
        <v>Additional Capital Raising Available at 4.5% Stress Rate</v>
      </c>
    </row>
    <row r="12" spans="1:71" ht="6" customHeight="1" x14ac:dyDescent="0.35">
      <c r="F12" s="75"/>
      <c r="G12" s="75"/>
      <c r="H12" s="75"/>
      <c r="I12" s="75"/>
      <c r="J12" s="75"/>
      <c r="K12" s="75"/>
      <c r="L12" s="75"/>
      <c r="M12" s="75"/>
      <c r="N12" s="75"/>
      <c r="O12" s="75"/>
      <c r="P12" s="75"/>
      <c r="Q12" s="75"/>
      <c r="R12" s="75"/>
      <c r="S12" s="75"/>
      <c r="T12" s="75"/>
      <c r="U12" s="75"/>
      <c r="V12" s="76"/>
      <c r="W12" s="75"/>
      <c r="X12" s="75"/>
      <c r="Y12" s="75"/>
      <c r="Z12" s="75"/>
      <c r="AA12" s="75"/>
      <c r="AB12" s="4"/>
      <c r="AE12" s="77"/>
      <c r="AH12" s="77"/>
      <c r="AI12" s="77"/>
      <c r="AJ12" s="77"/>
      <c r="BA12" s="77"/>
      <c r="BB12" s="77"/>
      <c r="BD12"/>
      <c r="BE12"/>
      <c r="BF12"/>
      <c r="BG12"/>
      <c r="BH12"/>
      <c r="BI12"/>
      <c r="BJ12"/>
      <c r="BK12"/>
      <c r="BL12"/>
      <c r="BN12" s="77"/>
      <c r="BO12" s="77"/>
      <c r="BP12" s="77"/>
      <c r="BQ12" s="77"/>
    </row>
    <row r="13" spans="1:71" ht="14.25" customHeight="1" x14ac:dyDescent="0.35">
      <c r="F13" s="172" t="s">
        <v>119</v>
      </c>
      <c r="G13" s="172"/>
      <c r="H13" s="172"/>
      <c r="I13" s="172"/>
      <c r="J13" s="172"/>
      <c r="K13" s="172"/>
      <c r="L13" s="172"/>
      <c r="M13" s="172"/>
      <c r="N13" s="172"/>
      <c r="O13" s="172"/>
      <c r="P13" s="172"/>
      <c r="Q13" s="172"/>
      <c r="R13" s="172"/>
      <c r="S13" s="172"/>
      <c r="T13" s="172"/>
      <c r="U13" s="172"/>
      <c r="V13" s="172"/>
      <c r="W13" s="172"/>
      <c r="X13" s="172"/>
      <c r="Y13" s="172"/>
      <c r="Z13" s="172"/>
      <c r="AA13" s="78"/>
      <c r="AB13" s="4"/>
      <c r="AE13" s="77"/>
      <c r="AH13" s="77"/>
      <c r="AI13" s="77"/>
      <c r="AJ13" s="77"/>
      <c r="BA13" s="77"/>
      <c r="BB13" s="77"/>
      <c r="BD13"/>
      <c r="BE13"/>
      <c r="BF13"/>
      <c r="BG13"/>
      <c r="BH13"/>
      <c r="BI13"/>
      <c r="BJ13"/>
      <c r="BK13"/>
      <c r="BL13"/>
      <c r="BN13" s="77"/>
      <c r="BO13" s="77"/>
      <c r="BP13" s="77"/>
      <c r="BQ13" s="77"/>
    </row>
    <row r="14" spans="1:71" ht="6" customHeight="1" x14ac:dyDescent="0.35">
      <c r="F14" s="75"/>
      <c r="G14" s="75"/>
      <c r="H14" s="75"/>
      <c r="I14" s="75"/>
      <c r="J14" s="75"/>
      <c r="K14" s="75"/>
      <c r="L14" s="75"/>
      <c r="M14" s="75"/>
      <c r="N14" s="75"/>
      <c r="O14" s="75"/>
      <c r="P14" s="75"/>
      <c r="Q14" s="75"/>
      <c r="R14" s="75"/>
      <c r="S14" s="75"/>
      <c r="T14" s="79"/>
      <c r="U14" s="75"/>
      <c r="V14" s="76"/>
      <c r="W14" s="75"/>
      <c r="X14" s="75"/>
      <c r="Y14" s="75"/>
      <c r="Z14" s="75"/>
      <c r="AA14" s="75"/>
      <c r="AB14" s="4"/>
      <c r="AE14" s="77"/>
      <c r="AH14" s="77"/>
      <c r="AI14" s="77"/>
      <c r="AJ14" s="77"/>
      <c r="BA14" s="77"/>
      <c r="BB14" s="77"/>
      <c r="BD14"/>
      <c r="BE14"/>
      <c r="BF14"/>
      <c r="BG14"/>
      <c r="BH14"/>
      <c r="BI14"/>
      <c r="BJ14"/>
      <c r="BK14"/>
      <c r="BL14"/>
      <c r="BN14" s="77"/>
      <c r="BO14" s="77"/>
      <c r="BP14" s="77"/>
      <c r="BQ14" s="77"/>
    </row>
    <row r="15" spans="1:71" ht="14.25" customHeight="1" x14ac:dyDescent="0.3">
      <c r="A15" s="33" t="s">
        <v>120</v>
      </c>
      <c r="B15" s="33" t="str">
        <f t="shared" ref="B15:B29" si="0">LEFT(A15,1)</f>
        <v>E</v>
      </c>
      <c r="C15" s="33">
        <f t="shared" ref="C15:C29" si="1">IF(F15="",0,1)</f>
        <v>0</v>
      </c>
      <c r="D15" s="33">
        <f t="shared" ref="D15:D29" si="2">IF(C15=0,0,IF(OR(LEFT(A15,1) ="T",V15&gt;0),1,0))</f>
        <v>0</v>
      </c>
      <c r="F15" s="80" t="str">
        <f t="shared" ref="F15:F29" si="3">IFERROR(_xlfn.XLOOKUP(A15,UniqueIdentifierArray,AddressArray,"",0,1),"")</f>
        <v/>
      </c>
      <c r="G15" s="81" t="str">
        <f>IFERROR(_xlfn.XLOOKUP(A15,'Portfolio Schedule'!AC:AC,'Portfolio Schedule'!Y:Y),"")</f>
        <v/>
      </c>
      <c r="I15" s="82"/>
      <c r="K15" s="83" t="str">
        <f t="shared" ref="K15:K29" si="4">IFERROR(_xlfn.XLOOKUP(A15,UniqueIdentifierArray,MonthlyRentalArray,"",0,1),"")</f>
        <v/>
      </c>
      <c r="L15" s="84" t="str">
        <f t="shared" ref="L15:L29" si="5">IFERROR(_xlfn.XLOOKUP(A15,UniqueIdentifierArray,CurrentEstimatedValuationArray,"",0,1),"")</f>
        <v/>
      </c>
      <c r="M15" s="85" t="str">
        <f t="shared" ref="M15:M29" si="6">IFERROR(FLOOR(_xlfn.XLOOKUP(A15,UniqueIdentifierArray,MortgageBalanceArray,"",0,1),100),"")</f>
        <v/>
      </c>
      <c r="N15" s="86" t="str">
        <f t="shared" ref="N15:N29" si="7">IFERROR(M15/L15,"")</f>
        <v/>
      </c>
      <c r="O15" s="75"/>
      <c r="P15" s="87" t="str">
        <f t="shared" ref="P15:P29" si="8">IFERROR(BL15,"")</f>
        <v/>
      </c>
      <c r="Q15" s="75"/>
      <c r="R15" s="88" t="str">
        <f t="shared" ref="R15:R29" si="9">IF(AND(P15="Yes",BS15&gt;=0),BS15,"")</f>
        <v/>
      </c>
      <c r="S15" s="75"/>
      <c r="T15" s="89"/>
      <c r="U15" s="90"/>
      <c r="V15" s="91"/>
      <c r="W15" s="92"/>
      <c r="X15" s="93" t="str">
        <f t="shared" ref="X15:X29" si="10">IF(BQ15&gt;0,BQ15,"")</f>
        <v/>
      </c>
      <c r="Y15" s="92"/>
      <c r="Z15" s="94">
        <f t="shared" ref="Z15:Z29" si="11">IF(V15&gt;0,SUM(M15,T15),0)</f>
        <v>0</v>
      </c>
      <c r="AA15" s="95" t="str">
        <f t="shared" ref="AA15:AA29" si="12">IFERROR(SUM(T15,M15)/L15,"")</f>
        <v/>
      </c>
      <c r="AB15" s="4"/>
      <c r="AC15" s="42" t="str">
        <f t="shared" ref="AC15:AC29" si="13">IF(C15&gt;0,L15*$AC$9,"")</f>
        <v/>
      </c>
      <c r="AD15" s="96" t="str">
        <f t="shared" ref="AD15:AD29" si="14">IF(C15&gt;0,VLOOKUP(G15,Min_ICR,2,FALSE),"")</f>
        <v/>
      </c>
      <c r="AE15" s="42" t="str">
        <f t="shared" ref="AE15:AE29" si="15">IF(C15&gt;0,ROUNDDOWN(K15*12/AD15/AE$9,0),"")</f>
        <v/>
      </c>
      <c r="AF15" s="77"/>
      <c r="AG15" s="42" t="str" cm="1">
        <f t="array" ref="AG15">IF(C15&gt;0,SUMPRODUCT(--(OriginalLenderArray="E"),--(OrderOfSubArray&gt;0),TotalLoanArray)+SUMPRODUCT(--(OriginalLenderArray="T"),--(OrderOfSubArray=0),MortgageArray)+SUMPRODUCT(--(OriginalLenderArray="T"),--(OrderOfSubArray&gt;0),TotalLoanArray)-IF(B15="T",M15,0),"")</f>
        <v/>
      </c>
      <c r="AH15" s="42" t="str" cm="1">
        <f t="array" ref="AH15">IF(C15&gt;0,SUMPRODUCT(--(OriginalLenderArray="T"),MortgageArray)+SUMPRODUCT(--(OriginalLenderArray="T"),--(OrderOfSubArray&gt;0),--(OrderOfSubArray&lt;V15),CapRaiseArray)+SUMPRODUCT(--(OriginalLenderArray="E"),--(OrderOfSubArray&gt;0),--(OrderOfSubArray&lt;V15),TotalLoanArray)-IF(B15="T",M15,0),"")</f>
        <v/>
      </c>
      <c r="AI15" s="42" t="str">
        <f t="shared" ref="AI15:AI29" si="16">IF(C15&gt;0,SUM(MortgageArray)+SUMIF(OrderOfSubArray,"&gt;0",CapRaiseArray)-M15-IF(V15&gt;0,T15,0),"")</f>
        <v/>
      </c>
      <c r="AJ15" s="42" t="str" cm="1">
        <f t="array" ref="AJ15">IF(C15&gt;0,SUM(MortgageArray)+SUMPRODUCT(CapRaiseArray,--(OrderOfSubArray&lt;V15),--(OrderOfSubArray&gt;0))-M15,"")</f>
        <v/>
      </c>
      <c r="AK15" s="97" t="str" cm="1">
        <f t="array" ref="AK15">IF(C15&gt;0,COUNTIF(MortgageArray,"&gt;0")+SUMPRODUCT(--(OrderOfSubArray&gt;0),--(MortgageArray=0)),"")</f>
        <v/>
      </c>
      <c r="AL15" s="97" t="str" cm="1">
        <f t="array" ref="AL15">IF(C15&gt;0,COUNTIF(MortgageArray,"&gt;0")+SUMPRODUCT(--(OrderOfSubArray&gt;0),--(OrderOfSubArray&lt;V15),--(MortgageArray=0))+IF(M15=0,1,0),"")</f>
        <v/>
      </c>
      <c r="AM15" s="77"/>
      <c r="AN15" s="97" t="str">
        <f t="shared" ref="AN15:AN29" si="17">IF(C15&gt;0,IF(V15&gt;0,AL15,AK15),"")</f>
        <v/>
      </c>
      <c r="AO15" s="42" t="str">
        <f t="shared" ref="AO15:AO29" si="18">IF(C15&gt;0,IF(V15&gt;0,AH15,AG15),"")</f>
        <v/>
      </c>
      <c r="AP15" s="42" t="str">
        <f t="shared" ref="AP15:AP29" si="19">IF(C15&gt;0,IF(V15&gt;0,AJ15,AI15),"")</f>
        <v/>
      </c>
      <c r="AR15" s="42" t="str">
        <f t="shared" ref="AR15:AR29" si="20">IF(C15&gt;0,MIN($L15*AR$8,AR$9-$AO15),"")</f>
        <v/>
      </c>
      <c r="AS15" s="42" t="str">
        <f t="shared" ref="AS15:AS29" si="21">IF(C15&gt;0,MIN($L15*AS$8,AS$9-$AO15),"")</f>
        <v/>
      </c>
      <c r="AT15" s="42" t="str">
        <f t="shared" ref="AT15:AT29" si="22">IF(C15&gt;0,MIN($L15*AT$8,AT$9-$AO15),"")</f>
        <v/>
      </c>
      <c r="AU15" s="42" t="str">
        <f t="shared" ref="AU15:AU29" si="23">IF(C15&gt;0,MIN($L15*AU$8,AU$9-$AO15),"")</f>
        <v/>
      </c>
      <c r="AV15" s="42" t="str">
        <f t="shared" ref="AV15:AV29" si="24">IF(C15&gt;0,MIN($L15*AV$8,AV$9-$AO15),"")</f>
        <v/>
      </c>
      <c r="AX15" s="42" t="str">
        <f t="shared" ref="AX15:AX29" si="25">IF(C15&gt;0,IF($AN15&gt;10,0,MIN(AX$9-$AO15,Port_Val*AX$8-$AP15)),"")</f>
        <v/>
      </c>
      <c r="AY15" s="42" t="str">
        <f t="shared" ref="AY15:AY29" si="26">IF(C15&gt;0,Port_Val*AY$8-AP15,"")</f>
        <v/>
      </c>
      <c r="AZ15" s="4"/>
      <c r="BA15" s="42" t="str">
        <f t="shared" ref="BA15:BA29" si="27">IF(C15&gt;0,ROUNDDOWN(IF($AN15&gt;10,0,MIN(BA$9-$AO15,Port_Rent*12/BA$8/1.45-AP15)),0),"")</f>
        <v/>
      </c>
      <c r="BB15" s="42" t="str">
        <f t="shared" ref="BB15:BB29" si="28">IF(C15&gt;0,ROUNDDOWN(Port_Rent*12/BB$8/1.45-AP15,0),"")</f>
        <v/>
      </c>
      <c r="BC15" s="4"/>
      <c r="BD15" s="42" t="str">
        <f t="shared" ref="BD15:BD29" si="29">AE15</f>
        <v/>
      </c>
      <c r="BE15" s="42" t="str">
        <f t="shared" ref="BE15:BE29" si="30">AC15</f>
        <v/>
      </c>
      <c r="BF15" s="42" t="str">
        <f t="shared" ref="BF15:BF29" si="31">IF(C15&gt;0,MAX(AR15:AV15),"")</f>
        <v/>
      </c>
      <c r="BG15" s="42" t="str">
        <f t="shared" ref="BG15:BG29" si="32">IF(C15&gt;0,MAX(AX15,AY15),"")</f>
        <v/>
      </c>
      <c r="BH15" s="42" t="str">
        <f t="shared" ref="BH15:BH29" si="33">IF(C15&gt;0,MAX(BA15:BB15),"")</f>
        <v/>
      </c>
      <c r="BI15" s="42" t="str">
        <f t="shared" ref="BI15:BI29" si="34">IF(C15&gt;0,FLOOR(MIN(BD15:BH15),100),"")</f>
        <v/>
      </c>
      <c r="BJ15" s="42" t="str">
        <f t="shared" ref="BJ15:BJ29" si="35">IFERROR(BI15-M15,"")</f>
        <v/>
      </c>
      <c r="BK15" s="42" t="str">
        <f t="shared" ref="BK15:BK29" si="36">IF(C15&gt;0,BI15-M15,"")</f>
        <v/>
      </c>
      <c r="BL15" s="97" t="str">
        <f>IF(C15&gt;0,IF(OR(Z15&gt;BI15,IF(B15="T",BJ15&lt;2500,BJ15&lt;0),BI15&lt;_xlfn.XLOOKUP(G15,Lookups!$A$2:$A$5,Lookups!$D$2:$D$5,,0,1)),"No","Yes"),"")</f>
        <v/>
      </c>
      <c r="BN15" s="42" t="str">
        <f t="shared" ref="BN15:BN29" si="37">IF(C15&gt;0,T15+M15,"")</f>
        <v/>
      </c>
      <c r="BO15" s="42" t="str">
        <f t="shared" ref="BO15:BO29" si="38">IF(C15&gt;0,FLOOR(MIN(BF15:BH15),100),"")</f>
        <v/>
      </c>
      <c r="BP15" s="42" t="str">
        <f t="shared" ref="BP15:BP29" si="39">IF(C15&gt;0,IF(B15="E",IF(BN15&gt;MIN(BO15,BE15),FALSE,TRUE),IF(OR(BN15&gt;MIN(BO15,BE15),BN15&lt;M15+2500),FALSE,TRUE)),"")</f>
        <v/>
      </c>
      <c r="BQ15" s="98" t="str">
        <f t="shared" ref="BQ15:BQ29" si="40">IFERROR(IF(AND(C15&gt;0,BP15=TRUE),ROUNDDOWN((K15*12)/AD15/BN15,4),""),"")</f>
        <v/>
      </c>
      <c r="BS15" s="42" t="str">
        <f>IFERROR(IF(OR(L15&lt;_xlfn.XLOOKUP(G15,Lookups!$A$2:$A$5,Lookups!$C$2:$C$5,,0,1),FLOOR(BI15,100)&lt;_xlfn.XLOOKUP(G15,Lookups!$A$2:$A$5,Lookups!$D$2:$D$5,,0,1),AND(B15="T",FLOOR(BK15,100)&lt;2500)),0,FLOOR(BK15,100)),"")</f>
        <v/>
      </c>
    </row>
    <row r="16" spans="1:71" ht="14.25" customHeight="1" x14ac:dyDescent="0.3">
      <c r="A16" s="33" t="s">
        <v>121</v>
      </c>
      <c r="B16" s="33" t="str">
        <f t="shared" si="0"/>
        <v>E</v>
      </c>
      <c r="C16" s="33">
        <f t="shared" si="1"/>
        <v>0</v>
      </c>
      <c r="D16" s="33">
        <f t="shared" si="2"/>
        <v>0</v>
      </c>
      <c r="F16" s="80" t="str">
        <f t="shared" si="3"/>
        <v/>
      </c>
      <c r="G16" s="81" t="str">
        <f>IFERROR(_xlfn.XLOOKUP(A16,'Portfolio Schedule'!AC:AC,'Portfolio Schedule'!Y:Y),"")</f>
        <v/>
      </c>
      <c r="I16" s="82"/>
      <c r="K16" s="83" t="str">
        <f t="shared" si="4"/>
        <v/>
      </c>
      <c r="L16" s="84" t="str">
        <f t="shared" si="5"/>
        <v/>
      </c>
      <c r="M16" s="85" t="str">
        <f t="shared" si="6"/>
        <v/>
      </c>
      <c r="N16" s="86" t="str">
        <f t="shared" si="7"/>
        <v/>
      </c>
      <c r="O16" s="75"/>
      <c r="P16" s="87" t="str">
        <f t="shared" si="8"/>
        <v/>
      </c>
      <c r="Q16" s="75"/>
      <c r="R16" s="88" t="str">
        <f t="shared" si="9"/>
        <v/>
      </c>
      <c r="S16" s="75"/>
      <c r="T16" s="89"/>
      <c r="U16" s="90"/>
      <c r="V16" s="91"/>
      <c r="W16" s="92"/>
      <c r="X16" s="93" t="str">
        <f t="shared" si="10"/>
        <v/>
      </c>
      <c r="Y16" s="92"/>
      <c r="Z16" s="94">
        <f t="shared" si="11"/>
        <v>0</v>
      </c>
      <c r="AA16" s="95" t="str">
        <f t="shared" si="12"/>
        <v/>
      </c>
      <c r="AB16" s="4"/>
      <c r="AC16" s="42" t="str">
        <f t="shared" si="13"/>
        <v/>
      </c>
      <c r="AD16" s="96" t="str">
        <f t="shared" si="14"/>
        <v/>
      </c>
      <c r="AE16" s="42" t="str">
        <f t="shared" si="15"/>
        <v/>
      </c>
      <c r="AF16" s="77"/>
      <c r="AG16" s="42" t="str" cm="1">
        <f t="array" ref="AG16">IF(C16&gt;0,SUMPRODUCT(--(OriginalLenderArray="E"),--(OrderOfSubArray&gt;0),TotalLoanArray)+SUMPRODUCT(--(OriginalLenderArray="T"),--(OrderOfSubArray=0),MortgageArray)+SUMPRODUCT(--(OriginalLenderArray="T"),--(OrderOfSubArray&gt;0),TotalLoanArray)-IF(B16="T",M16,0),"")</f>
        <v/>
      </c>
      <c r="AH16" s="42" t="str" cm="1">
        <f t="array" ref="AH16">IF(C16&gt;0,SUMPRODUCT(--(OriginalLenderArray="T"),MortgageArray)+SUMPRODUCT(--(OriginalLenderArray="T"),--(OrderOfSubArray&gt;0),--(OrderOfSubArray&lt;V16),CapRaiseArray)+SUMPRODUCT(--(OriginalLenderArray="E"),--(OrderOfSubArray&gt;0),--(OrderOfSubArray&lt;V16),TotalLoanArray)-IF(B16="T",M16,0),"")</f>
        <v/>
      </c>
      <c r="AI16" s="42" t="str">
        <f t="shared" si="16"/>
        <v/>
      </c>
      <c r="AJ16" s="42" t="str" cm="1">
        <f t="array" ref="AJ16">IF(C16&gt;0,SUM(MortgageArray)+SUMPRODUCT(CapRaiseArray,--(OrderOfSubArray&lt;V16),--(OrderOfSubArray&gt;0))-M16,"")</f>
        <v/>
      </c>
      <c r="AK16" s="97" t="str" cm="1">
        <f t="array" ref="AK16">IF(C16&gt;0,COUNTIF(MortgageArray,"&gt;0")+SUMPRODUCT(--(OrderOfSubArray&gt;0),--(MortgageArray=0)),"")</f>
        <v/>
      </c>
      <c r="AL16" s="97" t="str" cm="1">
        <f t="array" ref="AL16">IF(C16&gt;0,COUNTIF(MortgageArray,"&gt;0")+SUMPRODUCT(--(OrderOfSubArray&gt;0),--(OrderOfSubArray&lt;V16),--(MortgageArray=0))+IF(M16=0,1,0),"")</f>
        <v/>
      </c>
      <c r="AM16" s="77"/>
      <c r="AN16" s="97" t="str">
        <f t="shared" si="17"/>
        <v/>
      </c>
      <c r="AO16" s="42" t="str">
        <f t="shared" si="18"/>
        <v/>
      </c>
      <c r="AP16" s="42" t="str">
        <f t="shared" si="19"/>
        <v/>
      </c>
      <c r="AR16" s="42" t="str">
        <f t="shared" si="20"/>
        <v/>
      </c>
      <c r="AS16" s="42" t="str">
        <f t="shared" si="21"/>
        <v/>
      </c>
      <c r="AT16" s="42" t="str">
        <f t="shared" si="22"/>
        <v/>
      </c>
      <c r="AU16" s="42" t="str">
        <f t="shared" si="23"/>
        <v/>
      </c>
      <c r="AV16" s="42" t="str">
        <f t="shared" si="24"/>
        <v/>
      </c>
      <c r="AX16" s="42" t="str">
        <f t="shared" si="25"/>
        <v/>
      </c>
      <c r="AY16" s="42" t="str">
        <f t="shared" si="26"/>
        <v/>
      </c>
      <c r="AZ16" s="4"/>
      <c r="BA16" s="42" t="str">
        <f t="shared" si="27"/>
        <v/>
      </c>
      <c r="BB16" s="42" t="str">
        <f t="shared" si="28"/>
        <v/>
      </c>
      <c r="BC16" s="4"/>
      <c r="BD16" s="42" t="str">
        <f t="shared" si="29"/>
        <v/>
      </c>
      <c r="BE16" s="42" t="str">
        <f t="shared" si="30"/>
        <v/>
      </c>
      <c r="BF16" s="42" t="str">
        <f t="shared" si="31"/>
        <v/>
      </c>
      <c r="BG16" s="42" t="str">
        <f t="shared" si="32"/>
        <v/>
      </c>
      <c r="BH16" s="42" t="str">
        <f t="shared" si="33"/>
        <v/>
      </c>
      <c r="BI16" s="42" t="str">
        <f t="shared" si="34"/>
        <v/>
      </c>
      <c r="BJ16" s="42" t="str">
        <f t="shared" si="35"/>
        <v/>
      </c>
      <c r="BK16" s="42" t="str">
        <f t="shared" si="36"/>
        <v/>
      </c>
      <c r="BL16" s="97" t="str">
        <f>IF(C16&gt;0,IF(OR(Z16&gt;BI16,IF(B16="T",BJ16&lt;2500,BJ16&lt;0),BI16&lt;_xlfn.XLOOKUP(G16,Lookups!$A$2:$A$5,Lookups!$D$2:$D$5,,0,1)),"No","Yes"),"")</f>
        <v/>
      </c>
      <c r="BN16" s="42" t="str">
        <f t="shared" si="37"/>
        <v/>
      </c>
      <c r="BO16" s="42" t="str">
        <f t="shared" si="38"/>
        <v/>
      </c>
      <c r="BP16" s="42" t="str">
        <f t="shared" si="39"/>
        <v/>
      </c>
      <c r="BQ16" s="98" t="str">
        <f t="shared" si="40"/>
        <v/>
      </c>
      <c r="BS16" s="42" t="str">
        <f>IFERROR(IF(OR(L16&lt;_xlfn.XLOOKUP(G16,Lookups!$A$2:$A$5,Lookups!$C$2:$C$5,,0,1),FLOOR(BI16,100)&lt;_xlfn.XLOOKUP(G16,Lookups!$A$2:$A$5,Lookups!$D$2:$D$5,,0,1),AND(B16="T",FLOOR(BK16,100)&lt;2500)),0,FLOOR(BK16,100)),"")</f>
        <v/>
      </c>
    </row>
    <row r="17" spans="1:71" ht="14.25" customHeight="1" x14ac:dyDescent="0.3">
      <c r="A17" s="33" t="s">
        <v>122</v>
      </c>
      <c r="B17" s="33" t="str">
        <f t="shared" si="0"/>
        <v>E</v>
      </c>
      <c r="C17" s="33">
        <f t="shared" si="1"/>
        <v>0</v>
      </c>
      <c r="D17" s="33">
        <f t="shared" si="2"/>
        <v>0</v>
      </c>
      <c r="F17" s="80" t="str">
        <f t="shared" si="3"/>
        <v/>
      </c>
      <c r="G17" s="81" t="str">
        <f>IFERROR(_xlfn.XLOOKUP(A17,'Portfolio Schedule'!AC:AC,'Portfolio Schedule'!Y:Y),"")</f>
        <v/>
      </c>
      <c r="I17" s="82"/>
      <c r="K17" s="83" t="str">
        <f t="shared" si="4"/>
        <v/>
      </c>
      <c r="L17" s="84" t="str">
        <f t="shared" si="5"/>
        <v/>
      </c>
      <c r="M17" s="85" t="str">
        <f t="shared" si="6"/>
        <v/>
      </c>
      <c r="N17" s="86" t="str">
        <f t="shared" si="7"/>
        <v/>
      </c>
      <c r="O17" s="75"/>
      <c r="P17" s="87" t="str">
        <f t="shared" si="8"/>
        <v/>
      </c>
      <c r="Q17" s="75"/>
      <c r="R17" s="88" t="str">
        <f t="shared" si="9"/>
        <v/>
      </c>
      <c r="S17" s="75"/>
      <c r="T17" s="89"/>
      <c r="U17" s="90"/>
      <c r="V17" s="91"/>
      <c r="W17" s="92"/>
      <c r="X17" s="93" t="str">
        <f t="shared" si="10"/>
        <v/>
      </c>
      <c r="Y17" s="92"/>
      <c r="Z17" s="94">
        <f t="shared" si="11"/>
        <v>0</v>
      </c>
      <c r="AA17" s="95" t="str">
        <f t="shared" si="12"/>
        <v/>
      </c>
      <c r="AB17" s="4"/>
      <c r="AC17" s="42" t="str">
        <f t="shared" si="13"/>
        <v/>
      </c>
      <c r="AD17" s="96" t="str">
        <f t="shared" si="14"/>
        <v/>
      </c>
      <c r="AE17" s="42" t="str">
        <f t="shared" si="15"/>
        <v/>
      </c>
      <c r="AF17" s="77"/>
      <c r="AG17" s="42" t="str" cm="1">
        <f t="array" ref="AG17">IF(C17&gt;0,SUMPRODUCT(--(OriginalLenderArray="E"),--(OrderOfSubArray&gt;0),TotalLoanArray)+SUMPRODUCT(--(OriginalLenderArray="T"),--(OrderOfSubArray=0),MortgageArray)+SUMPRODUCT(--(OriginalLenderArray="T"),--(OrderOfSubArray&gt;0),TotalLoanArray)-IF(B17="T",M17,0),"")</f>
        <v/>
      </c>
      <c r="AH17" s="42" t="str" cm="1">
        <f t="array" ref="AH17">IF(C17&gt;0,SUMPRODUCT(--(OriginalLenderArray="T"),MortgageArray)+SUMPRODUCT(--(OriginalLenderArray="T"),--(OrderOfSubArray&gt;0),--(OrderOfSubArray&lt;V17),CapRaiseArray)+SUMPRODUCT(--(OriginalLenderArray="E"),--(OrderOfSubArray&gt;0),--(OrderOfSubArray&lt;V17),TotalLoanArray)-IF(B17="T",M17,0),"")</f>
        <v/>
      </c>
      <c r="AI17" s="42" t="str">
        <f t="shared" si="16"/>
        <v/>
      </c>
      <c r="AJ17" s="42" t="str" cm="1">
        <f t="array" ref="AJ17">IF(C17&gt;0,SUM(MortgageArray)+SUMPRODUCT(CapRaiseArray,--(OrderOfSubArray&lt;V17),--(OrderOfSubArray&gt;0))-M17,"")</f>
        <v/>
      </c>
      <c r="AK17" s="97" t="str" cm="1">
        <f t="array" ref="AK17">IF(C17&gt;0,COUNTIF(MortgageArray,"&gt;0")+SUMPRODUCT(--(OrderOfSubArray&gt;0),--(MortgageArray=0)),"")</f>
        <v/>
      </c>
      <c r="AL17" s="97" t="str" cm="1">
        <f t="array" ref="AL17">IF(C17&gt;0,COUNTIF(MortgageArray,"&gt;0")+SUMPRODUCT(--(OrderOfSubArray&gt;0),--(OrderOfSubArray&lt;V17),--(MortgageArray=0))+IF(M17=0,1,0),"")</f>
        <v/>
      </c>
      <c r="AM17" s="77"/>
      <c r="AN17" s="97" t="str">
        <f t="shared" si="17"/>
        <v/>
      </c>
      <c r="AO17" s="42" t="str">
        <f t="shared" si="18"/>
        <v/>
      </c>
      <c r="AP17" s="42" t="str">
        <f t="shared" si="19"/>
        <v/>
      </c>
      <c r="AR17" s="42" t="str">
        <f t="shared" si="20"/>
        <v/>
      </c>
      <c r="AS17" s="42" t="str">
        <f t="shared" si="21"/>
        <v/>
      </c>
      <c r="AT17" s="42" t="str">
        <f t="shared" si="22"/>
        <v/>
      </c>
      <c r="AU17" s="42" t="str">
        <f t="shared" si="23"/>
        <v/>
      </c>
      <c r="AV17" s="42" t="str">
        <f t="shared" si="24"/>
        <v/>
      </c>
      <c r="AX17" s="42" t="str">
        <f t="shared" si="25"/>
        <v/>
      </c>
      <c r="AY17" s="42" t="str">
        <f t="shared" si="26"/>
        <v/>
      </c>
      <c r="AZ17" s="4"/>
      <c r="BA17" s="42" t="str">
        <f t="shared" si="27"/>
        <v/>
      </c>
      <c r="BB17" s="42" t="str">
        <f t="shared" si="28"/>
        <v/>
      </c>
      <c r="BC17" s="4"/>
      <c r="BD17" s="42" t="str">
        <f t="shared" si="29"/>
        <v/>
      </c>
      <c r="BE17" s="42" t="str">
        <f t="shared" si="30"/>
        <v/>
      </c>
      <c r="BF17" s="42" t="str">
        <f t="shared" si="31"/>
        <v/>
      </c>
      <c r="BG17" s="42" t="str">
        <f t="shared" si="32"/>
        <v/>
      </c>
      <c r="BH17" s="42" t="str">
        <f t="shared" si="33"/>
        <v/>
      </c>
      <c r="BI17" s="42" t="str">
        <f t="shared" si="34"/>
        <v/>
      </c>
      <c r="BJ17" s="42" t="str">
        <f t="shared" si="35"/>
        <v/>
      </c>
      <c r="BK17" s="42" t="str">
        <f t="shared" si="36"/>
        <v/>
      </c>
      <c r="BL17" s="97" t="str">
        <f>IF(C17&gt;0,IF(OR(Z17&gt;BI17,IF(B17="T",BJ17&lt;2500,BJ17&lt;0),BI17&lt;_xlfn.XLOOKUP(G17,Lookups!$A$2:$A$5,Lookups!$D$2:$D$5,,0,1)),"No","Yes"),"")</f>
        <v/>
      </c>
      <c r="BN17" s="42" t="str">
        <f t="shared" si="37"/>
        <v/>
      </c>
      <c r="BO17" s="42" t="str">
        <f t="shared" si="38"/>
        <v/>
      </c>
      <c r="BP17" s="42" t="str">
        <f t="shared" si="39"/>
        <v/>
      </c>
      <c r="BQ17" s="98" t="str">
        <f t="shared" si="40"/>
        <v/>
      </c>
      <c r="BS17" s="42" t="str">
        <f>IFERROR(IF(OR(L17&lt;_xlfn.XLOOKUP(G17,Lookups!$A$2:$A$5,Lookups!$C$2:$C$5,,0,1),FLOOR(BI17,100)&lt;_xlfn.XLOOKUP(G17,Lookups!$A$2:$A$5,Lookups!$D$2:$D$5,,0,1),AND(B17="T",FLOOR(BK17,100)&lt;2500)),0,FLOOR(BK17,100)),"")</f>
        <v/>
      </c>
    </row>
    <row r="18" spans="1:71" ht="14.25" customHeight="1" x14ac:dyDescent="0.3">
      <c r="A18" s="33" t="s">
        <v>123</v>
      </c>
      <c r="B18" s="33" t="str">
        <f t="shared" si="0"/>
        <v>E</v>
      </c>
      <c r="C18" s="33">
        <f t="shared" si="1"/>
        <v>0</v>
      </c>
      <c r="D18" s="33">
        <f t="shared" si="2"/>
        <v>0</v>
      </c>
      <c r="F18" s="80" t="str">
        <f t="shared" si="3"/>
        <v/>
      </c>
      <c r="G18" s="81" t="str">
        <f>IFERROR(_xlfn.XLOOKUP(A18,'Portfolio Schedule'!AC:AC,'Portfolio Schedule'!Y:Y),"")</f>
        <v/>
      </c>
      <c r="I18" s="82"/>
      <c r="K18" s="83" t="str">
        <f t="shared" si="4"/>
        <v/>
      </c>
      <c r="L18" s="84" t="str">
        <f t="shared" si="5"/>
        <v/>
      </c>
      <c r="M18" s="85" t="str">
        <f t="shared" si="6"/>
        <v/>
      </c>
      <c r="N18" s="86" t="str">
        <f t="shared" si="7"/>
        <v/>
      </c>
      <c r="O18" s="75"/>
      <c r="P18" s="87" t="str">
        <f t="shared" si="8"/>
        <v/>
      </c>
      <c r="Q18" s="75"/>
      <c r="R18" s="88" t="str">
        <f t="shared" si="9"/>
        <v/>
      </c>
      <c r="S18" s="75"/>
      <c r="T18" s="89"/>
      <c r="U18" s="90"/>
      <c r="V18" s="91"/>
      <c r="W18" s="92"/>
      <c r="X18" s="93" t="str">
        <f t="shared" si="10"/>
        <v/>
      </c>
      <c r="Y18" s="92"/>
      <c r="Z18" s="94">
        <f t="shared" si="11"/>
        <v>0</v>
      </c>
      <c r="AA18" s="95" t="str">
        <f t="shared" si="12"/>
        <v/>
      </c>
      <c r="AB18" s="4"/>
      <c r="AC18" s="42" t="str">
        <f t="shared" si="13"/>
        <v/>
      </c>
      <c r="AD18" s="96" t="str">
        <f t="shared" si="14"/>
        <v/>
      </c>
      <c r="AE18" s="42" t="str">
        <f t="shared" si="15"/>
        <v/>
      </c>
      <c r="AF18" s="77"/>
      <c r="AG18" s="42" t="str" cm="1">
        <f t="array" ref="AG18">IF(C18&gt;0,SUMPRODUCT(--(OriginalLenderArray="E"),--(OrderOfSubArray&gt;0),TotalLoanArray)+SUMPRODUCT(--(OriginalLenderArray="T"),--(OrderOfSubArray=0),MortgageArray)+SUMPRODUCT(--(OriginalLenderArray="T"),--(OrderOfSubArray&gt;0),TotalLoanArray)-IF(B18="T",M18,0),"")</f>
        <v/>
      </c>
      <c r="AH18" s="42" t="str" cm="1">
        <f t="array" ref="AH18">IF(C18&gt;0,SUMPRODUCT(--(OriginalLenderArray="T"),MortgageArray)+SUMPRODUCT(--(OriginalLenderArray="T"),--(OrderOfSubArray&gt;0),--(OrderOfSubArray&lt;V18),CapRaiseArray)+SUMPRODUCT(--(OriginalLenderArray="E"),--(OrderOfSubArray&gt;0),--(OrderOfSubArray&lt;V18),TotalLoanArray)-IF(B18="T",M18,0),"")</f>
        <v/>
      </c>
      <c r="AI18" s="42" t="str">
        <f t="shared" si="16"/>
        <v/>
      </c>
      <c r="AJ18" s="42" t="str" cm="1">
        <f t="array" ref="AJ18">IF(C18&gt;0,SUM(MortgageArray)+SUMPRODUCT(CapRaiseArray,--(OrderOfSubArray&lt;V18),--(OrderOfSubArray&gt;0))-M18,"")</f>
        <v/>
      </c>
      <c r="AK18" s="97" t="str" cm="1">
        <f t="array" ref="AK18">IF(C18&gt;0,COUNTIF(MortgageArray,"&gt;0")+SUMPRODUCT(--(OrderOfSubArray&gt;0),--(MortgageArray=0)),"")</f>
        <v/>
      </c>
      <c r="AL18" s="97" t="str" cm="1">
        <f t="array" ref="AL18">IF(C18&gt;0,COUNTIF(MortgageArray,"&gt;0")+SUMPRODUCT(--(OrderOfSubArray&gt;0),--(OrderOfSubArray&lt;V18),--(MortgageArray=0))+IF(M18=0,1,0),"")</f>
        <v/>
      </c>
      <c r="AM18" s="77"/>
      <c r="AN18" s="97" t="str">
        <f t="shared" si="17"/>
        <v/>
      </c>
      <c r="AO18" s="42" t="str">
        <f t="shared" si="18"/>
        <v/>
      </c>
      <c r="AP18" s="42" t="str">
        <f t="shared" si="19"/>
        <v/>
      </c>
      <c r="AR18" s="42" t="str">
        <f t="shared" si="20"/>
        <v/>
      </c>
      <c r="AS18" s="42" t="str">
        <f t="shared" si="21"/>
        <v/>
      </c>
      <c r="AT18" s="42" t="str">
        <f t="shared" si="22"/>
        <v/>
      </c>
      <c r="AU18" s="42" t="str">
        <f t="shared" si="23"/>
        <v/>
      </c>
      <c r="AV18" s="42" t="str">
        <f t="shared" si="24"/>
        <v/>
      </c>
      <c r="AX18" s="42" t="str">
        <f t="shared" si="25"/>
        <v/>
      </c>
      <c r="AY18" s="42" t="str">
        <f t="shared" si="26"/>
        <v/>
      </c>
      <c r="AZ18" s="4"/>
      <c r="BA18" s="42" t="str">
        <f t="shared" si="27"/>
        <v/>
      </c>
      <c r="BB18" s="42" t="str">
        <f t="shared" si="28"/>
        <v/>
      </c>
      <c r="BC18" s="4"/>
      <c r="BD18" s="42" t="str">
        <f t="shared" si="29"/>
        <v/>
      </c>
      <c r="BE18" s="42" t="str">
        <f t="shared" si="30"/>
        <v/>
      </c>
      <c r="BF18" s="42" t="str">
        <f t="shared" si="31"/>
        <v/>
      </c>
      <c r="BG18" s="42" t="str">
        <f t="shared" si="32"/>
        <v/>
      </c>
      <c r="BH18" s="42" t="str">
        <f t="shared" si="33"/>
        <v/>
      </c>
      <c r="BI18" s="42" t="str">
        <f t="shared" si="34"/>
        <v/>
      </c>
      <c r="BJ18" s="42" t="str">
        <f t="shared" si="35"/>
        <v/>
      </c>
      <c r="BK18" s="42" t="str">
        <f t="shared" si="36"/>
        <v/>
      </c>
      <c r="BL18" s="97" t="str">
        <f>IF(C18&gt;0,IF(OR(Z18&gt;BI18,IF(B18="T",BJ18&lt;2500,BJ18&lt;0),BI18&lt;_xlfn.XLOOKUP(G18,Lookups!$A$2:$A$5,Lookups!$D$2:$D$5,,0,1)),"No","Yes"),"")</f>
        <v/>
      </c>
      <c r="BN18" s="42" t="str">
        <f t="shared" si="37"/>
        <v/>
      </c>
      <c r="BO18" s="42" t="str">
        <f t="shared" si="38"/>
        <v/>
      </c>
      <c r="BP18" s="42" t="str">
        <f t="shared" si="39"/>
        <v/>
      </c>
      <c r="BQ18" s="98" t="str">
        <f t="shared" si="40"/>
        <v/>
      </c>
      <c r="BS18" s="42" t="str">
        <f>IFERROR(IF(OR(L18&lt;_xlfn.XLOOKUP(G18,Lookups!$A$2:$A$5,Lookups!$C$2:$C$5,,0,1),FLOOR(BI18,100)&lt;_xlfn.XLOOKUP(G18,Lookups!$A$2:$A$5,Lookups!$D$2:$D$5,,0,1),AND(B18="T",FLOOR(BK18,100)&lt;2500)),0,FLOOR(BK18,100)),"")</f>
        <v/>
      </c>
    </row>
    <row r="19" spans="1:71" ht="14.25" customHeight="1" x14ac:dyDescent="0.3">
      <c r="A19" s="33" t="s">
        <v>124</v>
      </c>
      <c r="B19" s="33" t="str">
        <f t="shared" si="0"/>
        <v>E</v>
      </c>
      <c r="C19" s="33">
        <f t="shared" si="1"/>
        <v>0</v>
      </c>
      <c r="D19" s="33">
        <f t="shared" si="2"/>
        <v>0</v>
      </c>
      <c r="F19" s="80" t="str">
        <f t="shared" si="3"/>
        <v/>
      </c>
      <c r="G19" s="81" t="str">
        <f>IFERROR(_xlfn.XLOOKUP(A19,'Portfolio Schedule'!AC:AC,'Portfolio Schedule'!Y:Y),"")</f>
        <v/>
      </c>
      <c r="I19" s="82"/>
      <c r="K19" s="83" t="str">
        <f t="shared" si="4"/>
        <v/>
      </c>
      <c r="L19" s="84" t="str">
        <f t="shared" si="5"/>
        <v/>
      </c>
      <c r="M19" s="85" t="str">
        <f t="shared" si="6"/>
        <v/>
      </c>
      <c r="N19" s="86" t="str">
        <f t="shared" si="7"/>
        <v/>
      </c>
      <c r="O19" s="75"/>
      <c r="P19" s="87" t="str">
        <f t="shared" si="8"/>
        <v/>
      </c>
      <c r="Q19" s="75"/>
      <c r="R19" s="88" t="str">
        <f t="shared" si="9"/>
        <v/>
      </c>
      <c r="S19" s="75"/>
      <c r="T19" s="89"/>
      <c r="U19" s="90"/>
      <c r="V19" s="91"/>
      <c r="W19" s="92"/>
      <c r="X19" s="93" t="str">
        <f t="shared" si="10"/>
        <v/>
      </c>
      <c r="Y19" s="92"/>
      <c r="Z19" s="94">
        <f t="shared" si="11"/>
        <v>0</v>
      </c>
      <c r="AA19" s="95" t="str">
        <f t="shared" si="12"/>
        <v/>
      </c>
      <c r="AB19" s="4"/>
      <c r="AC19" s="42" t="str">
        <f t="shared" si="13"/>
        <v/>
      </c>
      <c r="AD19" s="96" t="str">
        <f t="shared" si="14"/>
        <v/>
      </c>
      <c r="AE19" s="42" t="str">
        <f t="shared" si="15"/>
        <v/>
      </c>
      <c r="AF19" s="77"/>
      <c r="AG19" s="42" t="str" cm="1">
        <f t="array" ref="AG19">IF(C19&gt;0,SUMPRODUCT(--(OriginalLenderArray="E"),--(OrderOfSubArray&gt;0),TotalLoanArray)+SUMPRODUCT(--(OriginalLenderArray="T"),--(OrderOfSubArray=0),MortgageArray)+SUMPRODUCT(--(OriginalLenderArray="T"),--(OrderOfSubArray&gt;0),TotalLoanArray)-IF(B19="T",M19,0),"")</f>
        <v/>
      </c>
      <c r="AH19" s="42" t="str" cm="1">
        <f t="array" ref="AH19">IF(C19&gt;0,SUMPRODUCT(--(OriginalLenderArray="T"),MortgageArray)+SUMPRODUCT(--(OriginalLenderArray="T"),--(OrderOfSubArray&gt;0),--(OrderOfSubArray&lt;V19),CapRaiseArray)+SUMPRODUCT(--(OriginalLenderArray="E"),--(OrderOfSubArray&gt;0),--(OrderOfSubArray&lt;V19),TotalLoanArray)-IF(B19="T",M19,0),"")</f>
        <v/>
      </c>
      <c r="AI19" s="42" t="str">
        <f t="shared" si="16"/>
        <v/>
      </c>
      <c r="AJ19" s="42" t="str" cm="1">
        <f t="array" ref="AJ19">IF(C19&gt;0,SUM(MortgageArray)+SUMPRODUCT(CapRaiseArray,--(OrderOfSubArray&lt;V19),--(OrderOfSubArray&gt;0))-M19,"")</f>
        <v/>
      </c>
      <c r="AK19" s="97" t="str" cm="1">
        <f t="array" ref="AK19">IF(C19&gt;0,COUNTIF(MortgageArray,"&gt;0")+SUMPRODUCT(--(OrderOfSubArray&gt;0),--(MortgageArray=0)),"")</f>
        <v/>
      </c>
      <c r="AL19" s="97" t="str" cm="1">
        <f t="array" ref="AL19">IF(C19&gt;0,COUNTIF(MortgageArray,"&gt;0")+SUMPRODUCT(--(OrderOfSubArray&gt;0),--(OrderOfSubArray&lt;V19),--(MortgageArray=0))+IF(M19=0,1,0),"")</f>
        <v/>
      </c>
      <c r="AM19" s="77"/>
      <c r="AN19" s="97" t="str">
        <f t="shared" si="17"/>
        <v/>
      </c>
      <c r="AO19" s="42" t="str">
        <f t="shared" si="18"/>
        <v/>
      </c>
      <c r="AP19" s="42" t="str">
        <f t="shared" si="19"/>
        <v/>
      </c>
      <c r="AR19" s="42" t="str">
        <f t="shared" si="20"/>
        <v/>
      </c>
      <c r="AS19" s="42" t="str">
        <f t="shared" si="21"/>
        <v/>
      </c>
      <c r="AT19" s="42" t="str">
        <f t="shared" si="22"/>
        <v/>
      </c>
      <c r="AU19" s="42" t="str">
        <f t="shared" si="23"/>
        <v/>
      </c>
      <c r="AV19" s="42" t="str">
        <f t="shared" si="24"/>
        <v/>
      </c>
      <c r="AX19" s="42" t="str">
        <f t="shared" si="25"/>
        <v/>
      </c>
      <c r="AY19" s="42" t="str">
        <f t="shared" si="26"/>
        <v/>
      </c>
      <c r="AZ19" s="4"/>
      <c r="BA19" s="42" t="str">
        <f t="shared" si="27"/>
        <v/>
      </c>
      <c r="BB19" s="42" t="str">
        <f t="shared" si="28"/>
        <v/>
      </c>
      <c r="BC19" s="4"/>
      <c r="BD19" s="42" t="str">
        <f t="shared" si="29"/>
        <v/>
      </c>
      <c r="BE19" s="42" t="str">
        <f t="shared" si="30"/>
        <v/>
      </c>
      <c r="BF19" s="42" t="str">
        <f t="shared" si="31"/>
        <v/>
      </c>
      <c r="BG19" s="42" t="str">
        <f t="shared" si="32"/>
        <v/>
      </c>
      <c r="BH19" s="42" t="str">
        <f t="shared" si="33"/>
        <v/>
      </c>
      <c r="BI19" s="42" t="str">
        <f t="shared" si="34"/>
        <v/>
      </c>
      <c r="BJ19" s="42" t="str">
        <f t="shared" si="35"/>
        <v/>
      </c>
      <c r="BK19" s="42" t="str">
        <f t="shared" si="36"/>
        <v/>
      </c>
      <c r="BL19" s="97" t="str">
        <f>IF(C19&gt;0,IF(OR(Z19&gt;BI19,IF(B19="T",BJ19&lt;2500,BJ19&lt;0),BI19&lt;_xlfn.XLOOKUP(G19,Lookups!$A$2:$A$5,Lookups!$D$2:$D$5,,0,1)),"No","Yes"),"")</f>
        <v/>
      </c>
      <c r="BN19" s="42" t="str">
        <f t="shared" si="37"/>
        <v/>
      </c>
      <c r="BO19" s="42" t="str">
        <f t="shared" si="38"/>
        <v/>
      </c>
      <c r="BP19" s="42" t="str">
        <f t="shared" si="39"/>
        <v/>
      </c>
      <c r="BQ19" s="98" t="str">
        <f t="shared" si="40"/>
        <v/>
      </c>
      <c r="BS19" s="42" t="str">
        <f>IFERROR(IF(OR(L19&lt;_xlfn.XLOOKUP(G19,Lookups!$A$2:$A$5,Lookups!$C$2:$C$5,,0,1),FLOOR(BI19,100)&lt;_xlfn.XLOOKUP(G19,Lookups!$A$2:$A$5,Lookups!$D$2:$D$5,,0,1),AND(B19="T",FLOOR(BK19,100)&lt;2500)),0,FLOOR(BK19,100)),"")</f>
        <v/>
      </c>
    </row>
    <row r="20" spans="1:71" ht="14.25" customHeight="1" x14ac:dyDescent="0.3">
      <c r="A20" s="33" t="s">
        <v>125</v>
      </c>
      <c r="B20" s="33" t="str">
        <f t="shared" si="0"/>
        <v>E</v>
      </c>
      <c r="C20" s="33">
        <f t="shared" si="1"/>
        <v>0</v>
      </c>
      <c r="D20" s="33">
        <f t="shared" si="2"/>
        <v>0</v>
      </c>
      <c r="F20" s="80" t="str">
        <f t="shared" si="3"/>
        <v/>
      </c>
      <c r="G20" s="81" t="str">
        <f>IFERROR(_xlfn.XLOOKUP(A20,'Portfolio Schedule'!AC:AC,'Portfolio Schedule'!Y:Y),"")</f>
        <v/>
      </c>
      <c r="I20" s="82"/>
      <c r="K20" s="83" t="str">
        <f t="shared" si="4"/>
        <v/>
      </c>
      <c r="L20" s="84" t="str">
        <f t="shared" si="5"/>
        <v/>
      </c>
      <c r="M20" s="85" t="str">
        <f t="shared" si="6"/>
        <v/>
      </c>
      <c r="N20" s="86" t="str">
        <f t="shared" si="7"/>
        <v/>
      </c>
      <c r="O20" s="75"/>
      <c r="P20" s="87" t="str">
        <f t="shared" si="8"/>
        <v/>
      </c>
      <c r="Q20" s="75"/>
      <c r="R20" s="88" t="str">
        <f t="shared" si="9"/>
        <v/>
      </c>
      <c r="S20" s="75"/>
      <c r="T20" s="89"/>
      <c r="U20" s="90"/>
      <c r="V20" s="91"/>
      <c r="W20" s="92"/>
      <c r="X20" s="93" t="str">
        <f t="shared" si="10"/>
        <v/>
      </c>
      <c r="Y20" s="92"/>
      <c r="Z20" s="94">
        <f t="shared" si="11"/>
        <v>0</v>
      </c>
      <c r="AA20" s="95" t="str">
        <f t="shared" si="12"/>
        <v/>
      </c>
      <c r="AB20" s="4"/>
      <c r="AC20" s="42" t="str">
        <f t="shared" si="13"/>
        <v/>
      </c>
      <c r="AD20" s="96" t="str">
        <f t="shared" si="14"/>
        <v/>
      </c>
      <c r="AE20" s="42" t="str">
        <f t="shared" si="15"/>
        <v/>
      </c>
      <c r="AF20" s="77"/>
      <c r="AG20" s="42" t="str" cm="1">
        <f t="array" ref="AG20">IF(C20&gt;0,SUMPRODUCT(--(OriginalLenderArray="E"),--(OrderOfSubArray&gt;0),TotalLoanArray)+SUMPRODUCT(--(OriginalLenderArray="T"),--(OrderOfSubArray=0),MortgageArray)+SUMPRODUCT(--(OriginalLenderArray="T"),--(OrderOfSubArray&gt;0),TotalLoanArray)-IF(B20="T",M20,0),"")</f>
        <v/>
      </c>
      <c r="AH20" s="42" t="str" cm="1">
        <f t="array" ref="AH20">IF(C20&gt;0,SUMPRODUCT(--(OriginalLenderArray="T"),MortgageArray)+SUMPRODUCT(--(OriginalLenderArray="T"),--(OrderOfSubArray&gt;0),--(OrderOfSubArray&lt;V20),CapRaiseArray)+SUMPRODUCT(--(OriginalLenderArray="E"),--(OrderOfSubArray&gt;0),--(OrderOfSubArray&lt;V20),TotalLoanArray)-IF(B20="T",M20,0),"")</f>
        <v/>
      </c>
      <c r="AI20" s="42" t="str">
        <f t="shared" si="16"/>
        <v/>
      </c>
      <c r="AJ20" s="42" t="str" cm="1">
        <f t="array" ref="AJ20">IF(C20&gt;0,SUM(MortgageArray)+SUMPRODUCT(CapRaiseArray,--(OrderOfSubArray&lt;V20),--(OrderOfSubArray&gt;0))-M20,"")</f>
        <v/>
      </c>
      <c r="AK20" s="97" t="str" cm="1">
        <f t="array" ref="AK20">IF(C20&gt;0,COUNTIF(MortgageArray,"&gt;0")+SUMPRODUCT(--(OrderOfSubArray&gt;0),--(MortgageArray=0)),"")</f>
        <v/>
      </c>
      <c r="AL20" s="97" t="str" cm="1">
        <f t="array" ref="AL20">IF(C20&gt;0,COUNTIF(MortgageArray,"&gt;0")+SUMPRODUCT(--(OrderOfSubArray&gt;0),--(OrderOfSubArray&lt;V20),--(MortgageArray=0))+IF(M20=0,1,0),"")</f>
        <v/>
      </c>
      <c r="AM20" s="77"/>
      <c r="AN20" s="97" t="str">
        <f t="shared" si="17"/>
        <v/>
      </c>
      <c r="AO20" s="42" t="str">
        <f t="shared" si="18"/>
        <v/>
      </c>
      <c r="AP20" s="42" t="str">
        <f t="shared" si="19"/>
        <v/>
      </c>
      <c r="AR20" s="42" t="str">
        <f t="shared" si="20"/>
        <v/>
      </c>
      <c r="AS20" s="42" t="str">
        <f t="shared" si="21"/>
        <v/>
      </c>
      <c r="AT20" s="42" t="str">
        <f t="shared" si="22"/>
        <v/>
      </c>
      <c r="AU20" s="42" t="str">
        <f t="shared" si="23"/>
        <v/>
      </c>
      <c r="AV20" s="42" t="str">
        <f t="shared" si="24"/>
        <v/>
      </c>
      <c r="AX20" s="42" t="str">
        <f t="shared" si="25"/>
        <v/>
      </c>
      <c r="AY20" s="42" t="str">
        <f t="shared" si="26"/>
        <v/>
      </c>
      <c r="AZ20" s="4"/>
      <c r="BA20" s="42" t="str">
        <f t="shared" si="27"/>
        <v/>
      </c>
      <c r="BB20" s="42" t="str">
        <f t="shared" si="28"/>
        <v/>
      </c>
      <c r="BC20" s="4"/>
      <c r="BD20" s="42" t="str">
        <f t="shared" si="29"/>
        <v/>
      </c>
      <c r="BE20" s="42" t="str">
        <f t="shared" si="30"/>
        <v/>
      </c>
      <c r="BF20" s="42" t="str">
        <f t="shared" si="31"/>
        <v/>
      </c>
      <c r="BG20" s="42" t="str">
        <f t="shared" si="32"/>
        <v/>
      </c>
      <c r="BH20" s="42" t="str">
        <f t="shared" si="33"/>
        <v/>
      </c>
      <c r="BI20" s="42" t="str">
        <f t="shared" si="34"/>
        <v/>
      </c>
      <c r="BJ20" s="42" t="str">
        <f t="shared" si="35"/>
        <v/>
      </c>
      <c r="BK20" s="42" t="str">
        <f t="shared" si="36"/>
        <v/>
      </c>
      <c r="BL20" s="97" t="str">
        <f>IF(C20&gt;0,IF(OR(Z20&gt;BI20,IF(B20="T",BJ20&lt;2500,BJ20&lt;0),BI20&lt;_xlfn.XLOOKUP(G20,Lookups!$A$2:$A$5,Lookups!$D$2:$D$5,,0,1)),"No","Yes"),"")</f>
        <v/>
      </c>
      <c r="BN20" s="42" t="str">
        <f t="shared" si="37"/>
        <v/>
      </c>
      <c r="BO20" s="42" t="str">
        <f t="shared" si="38"/>
        <v/>
      </c>
      <c r="BP20" s="42" t="str">
        <f t="shared" si="39"/>
        <v/>
      </c>
      <c r="BQ20" s="98" t="str">
        <f t="shared" si="40"/>
        <v/>
      </c>
      <c r="BS20" s="42" t="str">
        <f>IFERROR(IF(OR(L20&lt;_xlfn.XLOOKUP(G20,Lookups!$A$2:$A$5,Lookups!$C$2:$C$5,,0,1),FLOOR(BI20,100)&lt;_xlfn.XLOOKUP(G20,Lookups!$A$2:$A$5,Lookups!$D$2:$D$5,,0,1),AND(B20="T",FLOOR(BK20,100)&lt;2500)),0,FLOOR(BK20,100)),"")</f>
        <v/>
      </c>
    </row>
    <row r="21" spans="1:71" ht="14.25" customHeight="1" x14ac:dyDescent="0.3">
      <c r="A21" s="33" t="s">
        <v>126</v>
      </c>
      <c r="B21" s="33" t="str">
        <f t="shared" si="0"/>
        <v>E</v>
      </c>
      <c r="C21" s="33">
        <f t="shared" si="1"/>
        <v>0</v>
      </c>
      <c r="D21" s="33">
        <f t="shared" si="2"/>
        <v>0</v>
      </c>
      <c r="F21" s="80" t="str">
        <f t="shared" si="3"/>
        <v/>
      </c>
      <c r="G21" s="81" t="str">
        <f>IFERROR(_xlfn.XLOOKUP(A21,'Portfolio Schedule'!AC:AC,'Portfolio Schedule'!Y:Y),"")</f>
        <v/>
      </c>
      <c r="I21" s="82"/>
      <c r="K21" s="83" t="str">
        <f t="shared" si="4"/>
        <v/>
      </c>
      <c r="L21" s="84" t="str">
        <f t="shared" si="5"/>
        <v/>
      </c>
      <c r="M21" s="85" t="str">
        <f t="shared" si="6"/>
        <v/>
      </c>
      <c r="N21" s="86" t="str">
        <f t="shared" si="7"/>
        <v/>
      </c>
      <c r="O21" s="75"/>
      <c r="P21" s="87" t="str">
        <f t="shared" si="8"/>
        <v/>
      </c>
      <c r="Q21" s="75"/>
      <c r="R21" s="88" t="str">
        <f t="shared" si="9"/>
        <v/>
      </c>
      <c r="S21" s="75"/>
      <c r="T21" s="89"/>
      <c r="U21" s="90"/>
      <c r="V21" s="91"/>
      <c r="W21" s="92"/>
      <c r="X21" s="93" t="str">
        <f t="shared" si="10"/>
        <v/>
      </c>
      <c r="Y21" s="92"/>
      <c r="Z21" s="94">
        <f t="shared" si="11"/>
        <v>0</v>
      </c>
      <c r="AA21" s="95" t="str">
        <f t="shared" si="12"/>
        <v/>
      </c>
      <c r="AB21" s="4"/>
      <c r="AC21" s="42" t="str">
        <f t="shared" si="13"/>
        <v/>
      </c>
      <c r="AD21" s="96" t="str">
        <f t="shared" si="14"/>
        <v/>
      </c>
      <c r="AE21" s="42" t="str">
        <f t="shared" si="15"/>
        <v/>
      </c>
      <c r="AF21" s="77"/>
      <c r="AG21" s="42" t="str" cm="1">
        <f t="array" ref="AG21">IF(C21&gt;0,SUMPRODUCT(--(OriginalLenderArray="E"),--(OrderOfSubArray&gt;0),TotalLoanArray)+SUMPRODUCT(--(OriginalLenderArray="T"),--(OrderOfSubArray=0),MortgageArray)+SUMPRODUCT(--(OriginalLenderArray="T"),--(OrderOfSubArray&gt;0),TotalLoanArray)-IF(B21="T",M21,0),"")</f>
        <v/>
      </c>
      <c r="AH21" s="42" t="str" cm="1">
        <f t="array" ref="AH21">IF(C21&gt;0,SUMPRODUCT(--(OriginalLenderArray="T"),MortgageArray)+SUMPRODUCT(--(OriginalLenderArray="T"),--(OrderOfSubArray&gt;0),--(OrderOfSubArray&lt;V21),CapRaiseArray)+SUMPRODUCT(--(OriginalLenderArray="E"),--(OrderOfSubArray&gt;0),--(OrderOfSubArray&lt;V21),TotalLoanArray)-IF(B21="T",M21,0),"")</f>
        <v/>
      </c>
      <c r="AI21" s="42" t="str">
        <f t="shared" si="16"/>
        <v/>
      </c>
      <c r="AJ21" s="42" t="str" cm="1">
        <f t="array" ref="AJ21">IF(C21&gt;0,SUM(MortgageArray)+SUMPRODUCT(CapRaiseArray,--(OrderOfSubArray&lt;V21),--(OrderOfSubArray&gt;0))-M21,"")</f>
        <v/>
      </c>
      <c r="AK21" s="97" t="str" cm="1">
        <f t="array" ref="AK21">IF(C21&gt;0,COUNTIF(MortgageArray,"&gt;0")+SUMPRODUCT(--(OrderOfSubArray&gt;0),--(MortgageArray=0)),"")</f>
        <v/>
      </c>
      <c r="AL21" s="97" t="str" cm="1">
        <f t="array" ref="AL21">IF(C21&gt;0,COUNTIF(MortgageArray,"&gt;0")+SUMPRODUCT(--(OrderOfSubArray&gt;0),--(OrderOfSubArray&lt;V21),--(MortgageArray=0))+IF(M21=0,1,0),"")</f>
        <v/>
      </c>
      <c r="AM21" s="77"/>
      <c r="AN21" s="97" t="str">
        <f t="shared" si="17"/>
        <v/>
      </c>
      <c r="AO21" s="42" t="str">
        <f t="shared" si="18"/>
        <v/>
      </c>
      <c r="AP21" s="42" t="str">
        <f t="shared" si="19"/>
        <v/>
      </c>
      <c r="AR21" s="42" t="str">
        <f t="shared" si="20"/>
        <v/>
      </c>
      <c r="AS21" s="42" t="str">
        <f t="shared" si="21"/>
        <v/>
      </c>
      <c r="AT21" s="42" t="str">
        <f t="shared" si="22"/>
        <v/>
      </c>
      <c r="AU21" s="42" t="str">
        <f t="shared" si="23"/>
        <v/>
      </c>
      <c r="AV21" s="42" t="str">
        <f t="shared" si="24"/>
        <v/>
      </c>
      <c r="AX21" s="42" t="str">
        <f t="shared" si="25"/>
        <v/>
      </c>
      <c r="AY21" s="42" t="str">
        <f t="shared" si="26"/>
        <v/>
      </c>
      <c r="AZ21" s="4"/>
      <c r="BA21" s="42" t="str">
        <f t="shared" si="27"/>
        <v/>
      </c>
      <c r="BB21" s="42" t="str">
        <f t="shared" si="28"/>
        <v/>
      </c>
      <c r="BC21" s="4"/>
      <c r="BD21" s="42" t="str">
        <f t="shared" si="29"/>
        <v/>
      </c>
      <c r="BE21" s="42" t="str">
        <f t="shared" si="30"/>
        <v/>
      </c>
      <c r="BF21" s="42" t="str">
        <f t="shared" si="31"/>
        <v/>
      </c>
      <c r="BG21" s="42" t="str">
        <f t="shared" si="32"/>
        <v/>
      </c>
      <c r="BH21" s="42" t="str">
        <f t="shared" si="33"/>
        <v/>
      </c>
      <c r="BI21" s="42" t="str">
        <f t="shared" si="34"/>
        <v/>
      </c>
      <c r="BJ21" s="42" t="str">
        <f t="shared" si="35"/>
        <v/>
      </c>
      <c r="BK21" s="42" t="str">
        <f t="shared" si="36"/>
        <v/>
      </c>
      <c r="BL21" s="97" t="str">
        <f>IF(C21&gt;0,IF(OR(Z21&gt;BI21,IF(B21="T",BJ21&lt;2500,BJ21&lt;0),BI21&lt;_xlfn.XLOOKUP(G21,Lookups!$A$2:$A$5,Lookups!$D$2:$D$5,,0,1)),"No","Yes"),"")</f>
        <v/>
      </c>
      <c r="BN21" s="42" t="str">
        <f t="shared" si="37"/>
        <v/>
      </c>
      <c r="BO21" s="42" t="str">
        <f t="shared" si="38"/>
        <v/>
      </c>
      <c r="BP21" s="42" t="str">
        <f t="shared" si="39"/>
        <v/>
      </c>
      <c r="BQ21" s="98" t="str">
        <f t="shared" si="40"/>
        <v/>
      </c>
      <c r="BS21" s="42" t="str">
        <f>IFERROR(IF(OR(L21&lt;_xlfn.XLOOKUP(G21,Lookups!$A$2:$A$5,Lookups!$C$2:$C$5,,0,1),FLOOR(BI21,100)&lt;_xlfn.XLOOKUP(G21,Lookups!$A$2:$A$5,Lookups!$D$2:$D$5,,0,1),AND(B21="T",FLOOR(BK21,100)&lt;2500)),0,FLOOR(BK21,100)),"")</f>
        <v/>
      </c>
    </row>
    <row r="22" spans="1:71" ht="14.25" customHeight="1" x14ac:dyDescent="0.3">
      <c r="A22" s="33" t="s">
        <v>127</v>
      </c>
      <c r="B22" s="33" t="str">
        <f t="shared" si="0"/>
        <v>E</v>
      </c>
      <c r="C22" s="33">
        <f t="shared" si="1"/>
        <v>0</v>
      </c>
      <c r="D22" s="33">
        <f t="shared" si="2"/>
        <v>0</v>
      </c>
      <c r="F22" s="80" t="str">
        <f t="shared" si="3"/>
        <v/>
      </c>
      <c r="G22" s="81" t="str">
        <f>IFERROR(_xlfn.XLOOKUP(A22,'Portfolio Schedule'!AC:AC,'Portfolio Schedule'!Y:Y),"")</f>
        <v/>
      </c>
      <c r="I22" s="82"/>
      <c r="K22" s="83" t="str">
        <f t="shared" si="4"/>
        <v/>
      </c>
      <c r="L22" s="84" t="str">
        <f t="shared" si="5"/>
        <v/>
      </c>
      <c r="M22" s="85" t="str">
        <f t="shared" si="6"/>
        <v/>
      </c>
      <c r="N22" s="86" t="str">
        <f t="shared" si="7"/>
        <v/>
      </c>
      <c r="O22" s="75"/>
      <c r="P22" s="87" t="str">
        <f t="shared" si="8"/>
        <v/>
      </c>
      <c r="Q22" s="75"/>
      <c r="R22" s="88" t="str">
        <f t="shared" si="9"/>
        <v/>
      </c>
      <c r="S22" s="75"/>
      <c r="T22" s="89"/>
      <c r="U22" s="90"/>
      <c r="V22" s="91"/>
      <c r="W22" s="92"/>
      <c r="X22" s="93" t="str">
        <f t="shared" si="10"/>
        <v/>
      </c>
      <c r="Y22" s="92"/>
      <c r="Z22" s="94">
        <f t="shared" si="11"/>
        <v>0</v>
      </c>
      <c r="AA22" s="95" t="str">
        <f t="shared" si="12"/>
        <v/>
      </c>
      <c r="AB22" s="4"/>
      <c r="AC22" s="42" t="str">
        <f t="shared" si="13"/>
        <v/>
      </c>
      <c r="AD22" s="96" t="str">
        <f t="shared" si="14"/>
        <v/>
      </c>
      <c r="AE22" s="42" t="str">
        <f t="shared" si="15"/>
        <v/>
      </c>
      <c r="AF22" s="77"/>
      <c r="AG22" s="42" t="str" cm="1">
        <f t="array" ref="AG22">IF(C22&gt;0,SUMPRODUCT(--(OriginalLenderArray="E"),--(OrderOfSubArray&gt;0),TotalLoanArray)+SUMPRODUCT(--(OriginalLenderArray="T"),--(OrderOfSubArray=0),MortgageArray)+SUMPRODUCT(--(OriginalLenderArray="T"),--(OrderOfSubArray&gt;0),TotalLoanArray)-IF(B22="T",M22,0),"")</f>
        <v/>
      </c>
      <c r="AH22" s="42" t="str" cm="1">
        <f t="array" ref="AH22">IF(C22&gt;0,SUMPRODUCT(--(OriginalLenderArray="T"),MortgageArray)+SUMPRODUCT(--(OriginalLenderArray="T"),--(OrderOfSubArray&gt;0),--(OrderOfSubArray&lt;V22),CapRaiseArray)+SUMPRODUCT(--(OriginalLenderArray="E"),--(OrderOfSubArray&gt;0),--(OrderOfSubArray&lt;V22),TotalLoanArray)-IF(B22="T",M22,0),"")</f>
        <v/>
      </c>
      <c r="AI22" s="42" t="str">
        <f t="shared" si="16"/>
        <v/>
      </c>
      <c r="AJ22" s="42" t="str" cm="1">
        <f t="array" ref="AJ22">IF(C22&gt;0,SUM(MortgageArray)+SUMPRODUCT(CapRaiseArray,--(OrderOfSubArray&lt;V22),--(OrderOfSubArray&gt;0))-M22,"")</f>
        <v/>
      </c>
      <c r="AK22" s="97" t="str" cm="1">
        <f t="array" ref="AK22">IF(C22&gt;0,COUNTIF(MortgageArray,"&gt;0")+SUMPRODUCT(--(OrderOfSubArray&gt;0),--(MortgageArray=0)),"")</f>
        <v/>
      </c>
      <c r="AL22" s="97" t="str" cm="1">
        <f t="array" ref="AL22">IF(C22&gt;0,COUNTIF(MortgageArray,"&gt;0")+SUMPRODUCT(--(OrderOfSubArray&gt;0),--(OrderOfSubArray&lt;V22),--(MortgageArray=0))+IF(M22=0,1,0),"")</f>
        <v/>
      </c>
      <c r="AM22" s="77"/>
      <c r="AN22" s="97" t="str">
        <f t="shared" si="17"/>
        <v/>
      </c>
      <c r="AO22" s="42" t="str">
        <f t="shared" si="18"/>
        <v/>
      </c>
      <c r="AP22" s="42" t="str">
        <f t="shared" si="19"/>
        <v/>
      </c>
      <c r="AR22" s="42" t="str">
        <f t="shared" si="20"/>
        <v/>
      </c>
      <c r="AS22" s="42" t="str">
        <f t="shared" si="21"/>
        <v/>
      </c>
      <c r="AT22" s="42" t="str">
        <f t="shared" si="22"/>
        <v/>
      </c>
      <c r="AU22" s="42" t="str">
        <f t="shared" si="23"/>
        <v/>
      </c>
      <c r="AV22" s="42" t="str">
        <f t="shared" si="24"/>
        <v/>
      </c>
      <c r="AX22" s="42" t="str">
        <f t="shared" si="25"/>
        <v/>
      </c>
      <c r="AY22" s="42" t="str">
        <f t="shared" si="26"/>
        <v/>
      </c>
      <c r="AZ22" s="4"/>
      <c r="BA22" s="42" t="str">
        <f t="shared" si="27"/>
        <v/>
      </c>
      <c r="BB22" s="42" t="str">
        <f t="shared" si="28"/>
        <v/>
      </c>
      <c r="BC22" s="4"/>
      <c r="BD22" s="42" t="str">
        <f t="shared" si="29"/>
        <v/>
      </c>
      <c r="BE22" s="42" t="str">
        <f t="shared" si="30"/>
        <v/>
      </c>
      <c r="BF22" s="42" t="str">
        <f t="shared" si="31"/>
        <v/>
      </c>
      <c r="BG22" s="42" t="str">
        <f t="shared" si="32"/>
        <v/>
      </c>
      <c r="BH22" s="42" t="str">
        <f t="shared" si="33"/>
        <v/>
      </c>
      <c r="BI22" s="42" t="str">
        <f t="shared" si="34"/>
        <v/>
      </c>
      <c r="BJ22" s="42" t="str">
        <f t="shared" si="35"/>
        <v/>
      </c>
      <c r="BK22" s="42" t="str">
        <f t="shared" si="36"/>
        <v/>
      </c>
      <c r="BL22" s="97" t="str">
        <f>IF(C22&gt;0,IF(OR(Z22&gt;BI22,IF(B22="T",BJ22&lt;2500,BJ22&lt;0),BI22&lt;_xlfn.XLOOKUP(G22,Lookups!$A$2:$A$5,Lookups!$D$2:$D$5,,0,1)),"No","Yes"),"")</f>
        <v/>
      </c>
      <c r="BN22" s="42" t="str">
        <f t="shared" si="37"/>
        <v/>
      </c>
      <c r="BO22" s="42" t="str">
        <f t="shared" si="38"/>
        <v/>
      </c>
      <c r="BP22" s="42" t="str">
        <f t="shared" si="39"/>
        <v/>
      </c>
      <c r="BQ22" s="98" t="str">
        <f t="shared" si="40"/>
        <v/>
      </c>
      <c r="BS22" s="42" t="str">
        <f>IFERROR(IF(OR(L22&lt;_xlfn.XLOOKUP(G22,Lookups!$A$2:$A$5,Lookups!$C$2:$C$5,,0,1),FLOOR(BI22,100)&lt;_xlfn.XLOOKUP(G22,Lookups!$A$2:$A$5,Lookups!$D$2:$D$5,,0,1),AND(B22="T",FLOOR(BK22,100)&lt;2500)),0,FLOOR(BK22,100)),"")</f>
        <v/>
      </c>
    </row>
    <row r="23" spans="1:71" ht="14.25" customHeight="1" x14ac:dyDescent="0.3">
      <c r="A23" s="33" t="s">
        <v>128</v>
      </c>
      <c r="B23" s="33" t="str">
        <f t="shared" si="0"/>
        <v>E</v>
      </c>
      <c r="C23" s="33">
        <f t="shared" si="1"/>
        <v>0</v>
      </c>
      <c r="D23" s="33">
        <f t="shared" si="2"/>
        <v>0</v>
      </c>
      <c r="F23" s="80" t="str">
        <f t="shared" si="3"/>
        <v/>
      </c>
      <c r="G23" s="81" t="str">
        <f>IFERROR(_xlfn.XLOOKUP(A23,'Portfolio Schedule'!AC:AC,'Portfolio Schedule'!Y:Y),"")</f>
        <v/>
      </c>
      <c r="I23" s="82"/>
      <c r="K23" s="83" t="str">
        <f t="shared" si="4"/>
        <v/>
      </c>
      <c r="L23" s="84" t="str">
        <f t="shared" si="5"/>
        <v/>
      </c>
      <c r="M23" s="85" t="str">
        <f t="shared" si="6"/>
        <v/>
      </c>
      <c r="N23" s="86" t="str">
        <f t="shared" si="7"/>
        <v/>
      </c>
      <c r="O23" s="75"/>
      <c r="P23" s="87" t="str">
        <f t="shared" si="8"/>
        <v/>
      </c>
      <c r="Q23" s="75"/>
      <c r="R23" s="88" t="str">
        <f t="shared" si="9"/>
        <v/>
      </c>
      <c r="S23" s="75"/>
      <c r="T23" s="89"/>
      <c r="U23" s="90"/>
      <c r="V23" s="91"/>
      <c r="W23" s="92"/>
      <c r="X23" s="93" t="str">
        <f t="shared" si="10"/>
        <v/>
      </c>
      <c r="Y23" s="92"/>
      <c r="Z23" s="94">
        <f t="shared" si="11"/>
        <v>0</v>
      </c>
      <c r="AA23" s="95" t="str">
        <f t="shared" si="12"/>
        <v/>
      </c>
      <c r="AB23" s="4"/>
      <c r="AC23" s="42" t="str">
        <f t="shared" si="13"/>
        <v/>
      </c>
      <c r="AD23" s="96" t="str">
        <f t="shared" si="14"/>
        <v/>
      </c>
      <c r="AE23" s="42" t="str">
        <f t="shared" si="15"/>
        <v/>
      </c>
      <c r="AF23" s="77"/>
      <c r="AG23" s="42" t="str" cm="1">
        <f t="array" ref="AG23">IF(C23&gt;0,SUMPRODUCT(--(OriginalLenderArray="E"),--(OrderOfSubArray&gt;0),TotalLoanArray)+SUMPRODUCT(--(OriginalLenderArray="T"),--(OrderOfSubArray=0),MortgageArray)+SUMPRODUCT(--(OriginalLenderArray="T"),--(OrderOfSubArray&gt;0),TotalLoanArray)-IF(B23="T",M23,0),"")</f>
        <v/>
      </c>
      <c r="AH23" s="42" t="str" cm="1">
        <f t="array" ref="AH23">IF(C23&gt;0,SUMPRODUCT(--(OriginalLenderArray="T"),MortgageArray)+SUMPRODUCT(--(OriginalLenderArray="T"),--(OrderOfSubArray&gt;0),--(OrderOfSubArray&lt;V23),CapRaiseArray)+SUMPRODUCT(--(OriginalLenderArray="E"),--(OrderOfSubArray&gt;0),--(OrderOfSubArray&lt;V23),TotalLoanArray)-IF(B23="T",M23,0),"")</f>
        <v/>
      </c>
      <c r="AI23" s="42" t="str">
        <f t="shared" si="16"/>
        <v/>
      </c>
      <c r="AJ23" s="42" t="str" cm="1">
        <f t="array" ref="AJ23">IF(C23&gt;0,SUM(MortgageArray)+SUMPRODUCT(CapRaiseArray,--(OrderOfSubArray&lt;V23),--(OrderOfSubArray&gt;0))-M23,"")</f>
        <v/>
      </c>
      <c r="AK23" s="97" t="str" cm="1">
        <f t="array" ref="AK23">IF(C23&gt;0,COUNTIF(MortgageArray,"&gt;0")+SUMPRODUCT(--(OrderOfSubArray&gt;0),--(MortgageArray=0)),"")</f>
        <v/>
      </c>
      <c r="AL23" s="97" t="str" cm="1">
        <f t="array" ref="AL23">IF(C23&gt;0,COUNTIF(MortgageArray,"&gt;0")+SUMPRODUCT(--(OrderOfSubArray&gt;0),--(OrderOfSubArray&lt;V23),--(MortgageArray=0))+IF(M23=0,1,0),"")</f>
        <v/>
      </c>
      <c r="AM23" s="77"/>
      <c r="AN23" s="97" t="str">
        <f t="shared" si="17"/>
        <v/>
      </c>
      <c r="AO23" s="42" t="str">
        <f t="shared" si="18"/>
        <v/>
      </c>
      <c r="AP23" s="42" t="str">
        <f t="shared" si="19"/>
        <v/>
      </c>
      <c r="AR23" s="42" t="str">
        <f t="shared" si="20"/>
        <v/>
      </c>
      <c r="AS23" s="42" t="str">
        <f t="shared" si="21"/>
        <v/>
      </c>
      <c r="AT23" s="42" t="str">
        <f t="shared" si="22"/>
        <v/>
      </c>
      <c r="AU23" s="42" t="str">
        <f t="shared" si="23"/>
        <v/>
      </c>
      <c r="AV23" s="42" t="str">
        <f t="shared" si="24"/>
        <v/>
      </c>
      <c r="AX23" s="42" t="str">
        <f t="shared" si="25"/>
        <v/>
      </c>
      <c r="AY23" s="42" t="str">
        <f t="shared" si="26"/>
        <v/>
      </c>
      <c r="AZ23" s="4"/>
      <c r="BA23" s="42" t="str">
        <f t="shared" si="27"/>
        <v/>
      </c>
      <c r="BB23" s="42" t="str">
        <f t="shared" si="28"/>
        <v/>
      </c>
      <c r="BC23" s="4"/>
      <c r="BD23" s="42" t="str">
        <f t="shared" si="29"/>
        <v/>
      </c>
      <c r="BE23" s="42" t="str">
        <f t="shared" si="30"/>
        <v/>
      </c>
      <c r="BF23" s="42" t="str">
        <f t="shared" si="31"/>
        <v/>
      </c>
      <c r="BG23" s="42" t="str">
        <f t="shared" si="32"/>
        <v/>
      </c>
      <c r="BH23" s="42" t="str">
        <f t="shared" si="33"/>
        <v/>
      </c>
      <c r="BI23" s="42" t="str">
        <f t="shared" si="34"/>
        <v/>
      </c>
      <c r="BJ23" s="42" t="str">
        <f t="shared" si="35"/>
        <v/>
      </c>
      <c r="BK23" s="42" t="str">
        <f t="shared" si="36"/>
        <v/>
      </c>
      <c r="BL23" s="97" t="str">
        <f>IF(C23&gt;0,IF(OR(Z23&gt;BI23,IF(B23="T",BJ23&lt;2500,BJ23&lt;0),BI23&lt;_xlfn.XLOOKUP(G23,Lookups!$A$2:$A$5,Lookups!$D$2:$D$5,,0,1)),"No","Yes"),"")</f>
        <v/>
      </c>
      <c r="BN23" s="42" t="str">
        <f t="shared" si="37"/>
        <v/>
      </c>
      <c r="BO23" s="42" t="str">
        <f t="shared" si="38"/>
        <v/>
      </c>
      <c r="BP23" s="42" t="str">
        <f t="shared" si="39"/>
        <v/>
      </c>
      <c r="BQ23" s="98" t="str">
        <f t="shared" si="40"/>
        <v/>
      </c>
      <c r="BS23" s="42" t="str">
        <f>IFERROR(IF(OR(L23&lt;_xlfn.XLOOKUP(G23,Lookups!$A$2:$A$5,Lookups!$C$2:$C$5,,0,1),FLOOR(BI23,100)&lt;_xlfn.XLOOKUP(G23,Lookups!$A$2:$A$5,Lookups!$D$2:$D$5,,0,1),AND(B23="T",FLOOR(BK23,100)&lt;2500)),0,FLOOR(BK23,100)),"")</f>
        <v/>
      </c>
    </row>
    <row r="24" spans="1:71" ht="14.25" customHeight="1" x14ac:dyDescent="0.3">
      <c r="A24" s="33" t="s">
        <v>129</v>
      </c>
      <c r="B24" s="33" t="str">
        <f t="shared" si="0"/>
        <v>E</v>
      </c>
      <c r="C24" s="33">
        <f t="shared" si="1"/>
        <v>0</v>
      </c>
      <c r="D24" s="33">
        <f t="shared" si="2"/>
        <v>0</v>
      </c>
      <c r="F24" s="80" t="str">
        <f t="shared" si="3"/>
        <v/>
      </c>
      <c r="G24" s="81" t="str">
        <f>IFERROR(_xlfn.XLOOKUP(A24,'Portfolio Schedule'!AC:AC,'Portfolio Schedule'!Y:Y),"")</f>
        <v/>
      </c>
      <c r="I24" s="82"/>
      <c r="K24" s="83" t="str">
        <f t="shared" si="4"/>
        <v/>
      </c>
      <c r="L24" s="84" t="str">
        <f t="shared" si="5"/>
        <v/>
      </c>
      <c r="M24" s="85" t="str">
        <f t="shared" si="6"/>
        <v/>
      </c>
      <c r="N24" s="86" t="str">
        <f t="shared" si="7"/>
        <v/>
      </c>
      <c r="O24" s="75"/>
      <c r="P24" s="87" t="str">
        <f t="shared" si="8"/>
        <v/>
      </c>
      <c r="Q24" s="75"/>
      <c r="R24" s="88" t="str">
        <f t="shared" si="9"/>
        <v/>
      </c>
      <c r="S24" s="75"/>
      <c r="T24" s="89"/>
      <c r="U24" s="90"/>
      <c r="V24" s="91"/>
      <c r="W24" s="92"/>
      <c r="X24" s="93" t="str">
        <f t="shared" si="10"/>
        <v/>
      </c>
      <c r="Y24" s="92"/>
      <c r="Z24" s="94">
        <f t="shared" si="11"/>
        <v>0</v>
      </c>
      <c r="AA24" s="95" t="str">
        <f t="shared" si="12"/>
        <v/>
      </c>
      <c r="AB24" s="4"/>
      <c r="AC24" s="42" t="str">
        <f t="shared" si="13"/>
        <v/>
      </c>
      <c r="AD24" s="96" t="str">
        <f t="shared" si="14"/>
        <v/>
      </c>
      <c r="AE24" s="42" t="str">
        <f t="shared" si="15"/>
        <v/>
      </c>
      <c r="AF24" s="77"/>
      <c r="AG24" s="42" t="str" cm="1">
        <f t="array" ref="AG24">IF(C24&gt;0,SUMPRODUCT(--(OriginalLenderArray="E"),--(OrderOfSubArray&gt;0),TotalLoanArray)+SUMPRODUCT(--(OriginalLenderArray="T"),--(OrderOfSubArray=0),MortgageArray)+SUMPRODUCT(--(OriginalLenderArray="T"),--(OrderOfSubArray&gt;0),TotalLoanArray)-IF(B24="T",M24,0),"")</f>
        <v/>
      </c>
      <c r="AH24" s="42" t="str" cm="1">
        <f t="array" ref="AH24">IF(C24&gt;0,SUMPRODUCT(--(OriginalLenderArray="T"),MortgageArray)+SUMPRODUCT(--(OriginalLenderArray="T"),--(OrderOfSubArray&gt;0),--(OrderOfSubArray&lt;V24),CapRaiseArray)+SUMPRODUCT(--(OriginalLenderArray="E"),--(OrderOfSubArray&gt;0),--(OrderOfSubArray&lt;V24),TotalLoanArray)-IF(B24="T",M24,0),"")</f>
        <v/>
      </c>
      <c r="AI24" s="42" t="str">
        <f t="shared" si="16"/>
        <v/>
      </c>
      <c r="AJ24" s="42" t="str" cm="1">
        <f t="array" ref="AJ24">IF(C24&gt;0,SUM(MortgageArray)+SUMPRODUCT(CapRaiseArray,--(OrderOfSubArray&lt;V24),--(OrderOfSubArray&gt;0))-M24,"")</f>
        <v/>
      </c>
      <c r="AK24" s="97" t="str" cm="1">
        <f t="array" ref="AK24">IF(C24&gt;0,COUNTIF(MortgageArray,"&gt;0")+SUMPRODUCT(--(OrderOfSubArray&gt;0),--(MortgageArray=0)),"")</f>
        <v/>
      </c>
      <c r="AL24" s="97" t="str" cm="1">
        <f t="array" ref="AL24">IF(C24&gt;0,COUNTIF(MortgageArray,"&gt;0")+SUMPRODUCT(--(OrderOfSubArray&gt;0),--(OrderOfSubArray&lt;V24),--(MortgageArray=0))+IF(M24=0,1,0),"")</f>
        <v/>
      </c>
      <c r="AM24" s="77"/>
      <c r="AN24" s="97" t="str">
        <f t="shared" si="17"/>
        <v/>
      </c>
      <c r="AO24" s="42" t="str">
        <f t="shared" si="18"/>
        <v/>
      </c>
      <c r="AP24" s="42" t="str">
        <f t="shared" si="19"/>
        <v/>
      </c>
      <c r="AR24" s="42" t="str">
        <f t="shared" si="20"/>
        <v/>
      </c>
      <c r="AS24" s="42" t="str">
        <f t="shared" si="21"/>
        <v/>
      </c>
      <c r="AT24" s="42" t="str">
        <f t="shared" si="22"/>
        <v/>
      </c>
      <c r="AU24" s="42" t="str">
        <f t="shared" si="23"/>
        <v/>
      </c>
      <c r="AV24" s="42" t="str">
        <f t="shared" si="24"/>
        <v/>
      </c>
      <c r="AX24" s="42" t="str">
        <f t="shared" si="25"/>
        <v/>
      </c>
      <c r="AY24" s="42" t="str">
        <f t="shared" si="26"/>
        <v/>
      </c>
      <c r="AZ24" s="4"/>
      <c r="BA24" s="42" t="str">
        <f t="shared" si="27"/>
        <v/>
      </c>
      <c r="BB24" s="42" t="str">
        <f t="shared" si="28"/>
        <v/>
      </c>
      <c r="BC24" s="4"/>
      <c r="BD24" s="42" t="str">
        <f t="shared" si="29"/>
        <v/>
      </c>
      <c r="BE24" s="42" t="str">
        <f t="shared" si="30"/>
        <v/>
      </c>
      <c r="BF24" s="42" t="str">
        <f t="shared" si="31"/>
        <v/>
      </c>
      <c r="BG24" s="42" t="str">
        <f t="shared" si="32"/>
        <v/>
      </c>
      <c r="BH24" s="42" t="str">
        <f t="shared" si="33"/>
        <v/>
      </c>
      <c r="BI24" s="42" t="str">
        <f t="shared" si="34"/>
        <v/>
      </c>
      <c r="BJ24" s="42" t="str">
        <f t="shared" si="35"/>
        <v/>
      </c>
      <c r="BK24" s="42" t="str">
        <f t="shared" si="36"/>
        <v/>
      </c>
      <c r="BL24" s="97" t="str">
        <f>IF(C24&gt;0,IF(OR(Z24&gt;BI24,IF(B24="T",BJ24&lt;2500,BJ24&lt;0),BI24&lt;_xlfn.XLOOKUP(G24,Lookups!$A$2:$A$5,Lookups!$D$2:$D$5,,0,1)),"No","Yes"),"")</f>
        <v/>
      </c>
      <c r="BN24" s="42" t="str">
        <f t="shared" si="37"/>
        <v/>
      </c>
      <c r="BO24" s="42" t="str">
        <f t="shared" si="38"/>
        <v/>
      </c>
      <c r="BP24" s="42" t="str">
        <f t="shared" si="39"/>
        <v/>
      </c>
      <c r="BQ24" s="98" t="str">
        <f t="shared" si="40"/>
        <v/>
      </c>
      <c r="BS24" s="42" t="str">
        <f>IFERROR(IF(OR(L24&lt;_xlfn.XLOOKUP(G24,Lookups!$A$2:$A$5,Lookups!$C$2:$C$5,,0,1),FLOOR(BI24,100)&lt;_xlfn.XLOOKUP(G24,Lookups!$A$2:$A$5,Lookups!$D$2:$D$5,,0,1),AND(B24="T",FLOOR(BK24,100)&lt;2500)),0,FLOOR(BK24,100)),"")</f>
        <v/>
      </c>
    </row>
    <row r="25" spans="1:71" ht="14.25" customHeight="1" x14ac:dyDescent="0.3">
      <c r="A25" s="33" t="s">
        <v>130</v>
      </c>
      <c r="B25" s="33" t="str">
        <f t="shared" si="0"/>
        <v>E</v>
      </c>
      <c r="C25" s="33">
        <f t="shared" si="1"/>
        <v>0</v>
      </c>
      <c r="D25" s="33">
        <f t="shared" si="2"/>
        <v>0</v>
      </c>
      <c r="F25" s="80" t="str">
        <f t="shared" si="3"/>
        <v/>
      </c>
      <c r="G25" s="81" t="str">
        <f>IFERROR(_xlfn.XLOOKUP(A25,'Portfolio Schedule'!AC:AC,'Portfolio Schedule'!Y:Y),"")</f>
        <v/>
      </c>
      <c r="I25" s="82"/>
      <c r="K25" s="83" t="str">
        <f t="shared" si="4"/>
        <v/>
      </c>
      <c r="L25" s="84" t="str">
        <f t="shared" si="5"/>
        <v/>
      </c>
      <c r="M25" s="85" t="str">
        <f t="shared" si="6"/>
        <v/>
      </c>
      <c r="N25" s="86" t="str">
        <f t="shared" si="7"/>
        <v/>
      </c>
      <c r="O25" s="75"/>
      <c r="P25" s="87" t="str">
        <f t="shared" si="8"/>
        <v/>
      </c>
      <c r="Q25" s="75"/>
      <c r="R25" s="88" t="str">
        <f t="shared" si="9"/>
        <v/>
      </c>
      <c r="S25" s="75"/>
      <c r="T25" s="89"/>
      <c r="U25" s="90"/>
      <c r="V25" s="91"/>
      <c r="W25" s="92"/>
      <c r="X25" s="93" t="str">
        <f t="shared" si="10"/>
        <v/>
      </c>
      <c r="Y25" s="92"/>
      <c r="Z25" s="94">
        <f t="shared" si="11"/>
        <v>0</v>
      </c>
      <c r="AA25" s="95" t="str">
        <f t="shared" si="12"/>
        <v/>
      </c>
      <c r="AB25" s="4"/>
      <c r="AC25" s="42" t="str">
        <f t="shared" si="13"/>
        <v/>
      </c>
      <c r="AD25" s="96" t="str">
        <f t="shared" si="14"/>
        <v/>
      </c>
      <c r="AE25" s="42" t="str">
        <f t="shared" si="15"/>
        <v/>
      </c>
      <c r="AF25" s="77"/>
      <c r="AG25" s="42" t="str" cm="1">
        <f t="array" ref="AG25">IF(C25&gt;0,SUMPRODUCT(--(OriginalLenderArray="E"),--(OrderOfSubArray&gt;0),TotalLoanArray)+SUMPRODUCT(--(OriginalLenderArray="T"),--(OrderOfSubArray=0),MortgageArray)+SUMPRODUCT(--(OriginalLenderArray="T"),--(OrderOfSubArray&gt;0),TotalLoanArray)-IF(B25="T",M25,0),"")</f>
        <v/>
      </c>
      <c r="AH25" s="42" t="str" cm="1">
        <f t="array" ref="AH25">IF(C25&gt;0,SUMPRODUCT(--(OriginalLenderArray="T"),MortgageArray)+SUMPRODUCT(--(OriginalLenderArray="T"),--(OrderOfSubArray&gt;0),--(OrderOfSubArray&lt;V25),CapRaiseArray)+SUMPRODUCT(--(OriginalLenderArray="E"),--(OrderOfSubArray&gt;0),--(OrderOfSubArray&lt;V25),TotalLoanArray)-IF(B25="T",M25,0),"")</f>
        <v/>
      </c>
      <c r="AI25" s="42" t="str">
        <f t="shared" si="16"/>
        <v/>
      </c>
      <c r="AJ25" s="42" t="str" cm="1">
        <f t="array" ref="AJ25">IF(C25&gt;0,SUM(MortgageArray)+SUMPRODUCT(CapRaiseArray,--(OrderOfSubArray&lt;V25),--(OrderOfSubArray&gt;0))-M25,"")</f>
        <v/>
      </c>
      <c r="AK25" s="97" t="str" cm="1">
        <f t="array" ref="AK25">IF(C25&gt;0,COUNTIF(MortgageArray,"&gt;0")+SUMPRODUCT(--(OrderOfSubArray&gt;0),--(MortgageArray=0)),"")</f>
        <v/>
      </c>
      <c r="AL25" s="97" t="str" cm="1">
        <f t="array" ref="AL25">IF(C25&gt;0,COUNTIF(MortgageArray,"&gt;0")+SUMPRODUCT(--(OrderOfSubArray&gt;0),--(OrderOfSubArray&lt;V25),--(MortgageArray=0))+IF(M25=0,1,0),"")</f>
        <v/>
      </c>
      <c r="AM25" s="77"/>
      <c r="AN25" s="97" t="str">
        <f t="shared" si="17"/>
        <v/>
      </c>
      <c r="AO25" s="42" t="str">
        <f t="shared" si="18"/>
        <v/>
      </c>
      <c r="AP25" s="42" t="str">
        <f t="shared" si="19"/>
        <v/>
      </c>
      <c r="AR25" s="42" t="str">
        <f t="shared" si="20"/>
        <v/>
      </c>
      <c r="AS25" s="42" t="str">
        <f t="shared" si="21"/>
        <v/>
      </c>
      <c r="AT25" s="42" t="str">
        <f t="shared" si="22"/>
        <v/>
      </c>
      <c r="AU25" s="42" t="str">
        <f t="shared" si="23"/>
        <v/>
      </c>
      <c r="AV25" s="42" t="str">
        <f t="shared" si="24"/>
        <v/>
      </c>
      <c r="AX25" s="42" t="str">
        <f t="shared" si="25"/>
        <v/>
      </c>
      <c r="AY25" s="42" t="str">
        <f t="shared" si="26"/>
        <v/>
      </c>
      <c r="AZ25" s="4"/>
      <c r="BA25" s="42" t="str">
        <f t="shared" si="27"/>
        <v/>
      </c>
      <c r="BB25" s="42" t="str">
        <f t="shared" si="28"/>
        <v/>
      </c>
      <c r="BC25" s="4"/>
      <c r="BD25" s="42" t="str">
        <f t="shared" si="29"/>
        <v/>
      </c>
      <c r="BE25" s="42" t="str">
        <f t="shared" si="30"/>
        <v/>
      </c>
      <c r="BF25" s="42" t="str">
        <f t="shared" si="31"/>
        <v/>
      </c>
      <c r="BG25" s="42" t="str">
        <f t="shared" si="32"/>
        <v/>
      </c>
      <c r="BH25" s="42" t="str">
        <f t="shared" si="33"/>
        <v/>
      </c>
      <c r="BI25" s="42" t="str">
        <f t="shared" si="34"/>
        <v/>
      </c>
      <c r="BJ25" s="42" t="str">
        <f t="shared" si="35"/>
        <v/>
      </c>
      <c r="BK25" s="42" t="str">
        <f t="shared" si="36"/>
        <v/>
      </c>
      <c r="BL25" s="97" t="str">
        <f>IF(C25&gt;0,IF(OR(Z25&gt;BI25,IF(B25="T",BJ25&lt;2500,BJ25&lt;0),BI25&lt;_xlfn.XLOOKUP(G25,Lookups!$A$2:$A$5,Lookups!$D$2:$D$5,,0,1)),"No","Yes"),"")</f>
        <v/>
      </c>
      <c r="BN25" s="42" t="str">
        <f t="shared" si="37"/>
        <v/>
      </c>
      <c r="BO25" s="42" t="str">
        <f t="shared" si="38"/>
        <v/>
      </c>
      <c r="BP25" s="42" t="str">
        <f t="shared" si="39"/>
        <v/>
      </c>
      <c r="BQ25" s="98" t="str">
        <f t="shared" si="40"/>
        <v/>
      </c>
      <c r="BS25" s="42" t="str">
        <f>IFERROR(IF(OR(L25&lt;_xlfn.XLOOKUP(G25,Lookups!$A$2:$A$5,Lookups!$C$2:$C$5,,0,1),FLOOR(BI25,100)&lt;_xlfn.XLOOKUP(G25,Lookups!$A$2:$A$5,Lookups!$D$2:$D$5,,0,1),AND(B25="T",FLOOR(BK25,100)&lt;2500)),0,FLOOR(BK25,100)),"")</f>
        <v/>
      </c>
    </row>
    <row r="26" spans="1:71" ht="14.25" customHeight="1" x14ac:dyDescent="0.3">
      <c r="A26" s="33" t="s">
        <v>131</v>
      </c>
      <c r="B26" s="33" t="str">
        <f t="shared" si="0"/>
        <v>E</v>
      </c>
      <c r="C26" s="33">
        <f t="shared" si="1"/>
        <v>0</v>
      </c>
      <c r="D26" s="33">
        <f t="shared" si="2"/>
        <v>0</v>
      </c>
      <c r="F26" s="80" t="str">
        <f t="shared" si="3"/>
        <v/>
      </c>
      <c r="G26" s="81" t="str">
        <f>IFERROR(_xlfn.XLOOKUP(A26,'Portfolio Schedule'!AC:AC,'Portfolio Schedule'!Y:Y),"")</f>
        <v/>
      </c>
      <c r="I26" s="82"/>
      <c r="K26" s="83" t="str">
        <f t="shared" si="4"/>
        <v/>
      </c>
      <c r="L26" s="84" t="str">
        <f t="shared" si="5"/>
        <v/>
      </c>
      <c r="M26" s="85" t="str">
        <f t="shared" si="6"/>
        <v/>
      </c>
      <c r="N26" s="86" t="str">
        <f t="shared" si="7"/>
        <v/>
      </c>
      <c r="O26" s="75"/>
      <c r="P26" s="87" t="str">
        <f t="shared" si="8"/>
        <v/>
      </c>
      <c r="Q26" s="75"/>
      <c r="R26" s="88" t="str">
        <f t="shared" si="9"/>
        <v/>
      </c>
      <c r="S26" s="75"/>
      <c r="T26" s="89"/>
      <c r="U26" s="90"/>
      <c r="V26" s="91"/>
      <c r="W26" s="92"/>
      <c r="X26" s="93" t="str">
        <f t="shared" si="10"/>
        <v/>
      </c>
      <c r="Y26" s="92"/>
      <c r="Z26" s="94">
        <f t="shared" si="11"/>
        <v>0</v>
      </c>
      <c r="AA26" s="95" t="str">
        <f t="shared" si="12"/>
        <v/>
      </c>
      <c r="AB26" s="4"/>
      <c r="AC26" s="42" t="str">
        <f t="shared" si="13"/>
        <v/>
      </c>
      <c r="AD26" s="96" t="str">
        <f t="shared" si="14"/>
        <v/>
      </c>
      <c r="AE26" s="42" t="str">
        <f t="shared" si="15"/>
        <v/>
      </c>
      <c r="AF26" s="77"/>
      <c r="AG26" s="42" t="str" cm="1">
        <f t="array" ref="AG26">IF(C26&gt;0,SUMPRODUCT(--(OriginalLenderArray="E"),--(OrderOfSubArray&gt;0),TotalLoanArray)+SUMPRODUCT(--(OriginalLenderArray="T"),--(OrderOfSubArray=0),MortgageArray)+SUMPRODUCT(--(OriginalLenderArray="T"),--(OrderOfSubArray&gt;0),TotalLoanArray)-IF(B26="T",M26,0),"")</f>
        <v/>
      </c>
      <c r="AH26" s="42" t="str" cm="1">
        <f t="array" ref="AH26">IF(C26&gt;0,SUMPRODUCT(--(OriginalLenderArray="T"),MortgageArray)+SUMPRODUCT(--(OriginalLenderArray="T"),--(OrderOfSubArray&gt;0),--(OrderOfSubArray&lt;V26),CapRaiseArray)+SUMPRODUCT(--(OriginalLenderArray="E"),--(OrderOfSubArray&gt;0),--(OrderOfSubArray&lt;V26),TotalLoanArray)-IF(B26="T",M26,0),"")</f>
        <v/>
      </c>
      <c r="AI26" s="42" t="str">
        <f t="shared" si="16"/>
        <v/>
      </c>
      <c r="AJ26" s="42" t="str" cm="1">
        <f t="array" ref="AJ26">IF(C26&gt;0,SUM(MortgageArray)+SUMPRODUCT(CapRaiseArray,--(OrderOfSubArray&lt;V26),--(OrderOfSubArray&gt;0))-M26,"")</f>
        <v/>
      </c>
      <c r="AK26" s="97" t="str" cm="1">
        <f t="array" ref="AK26">IF(C26&gt;0,COUNTIF(MortgageArray,"&gt;0")+SUMPRODUCT(--(OrderOfSubArray&gt;0),--(MortgageArray=0)),"")</f>
        <v/>
      </c>
      <c r="AL26" s="97" t="str" cm="1">
        <f t="array" ref="AL26">IF(C26&gt;0,COUNTIF(MortgageArray,"&gt;0")+SUMPRODUCT(--(OrderOfSubArray&gt;0),--(OrderOfSubArray&lt;V26),--(MortgageArray=0))+IF(M26=0,1,0),"")</f>
        <v/>
      </c>
      <c r="AM26" s="77"/>
      <c r="AN26" s="97" t="str">
        <f t="shared" si="17"/>
        <v/>
      </c>
      <c r="AO26" s="42" t="str">
        <f t="shared" si="18"/>
        <v/>
      </c>
      <c r="AP26" s="42" t="str">
        <f t="shared" si="19"/>
        <v/>
      </c>
      <c r="AR26" s="42" t="str">
        <f t="shared" si="20"/>
        <v/>
      </c>
      <c r="AS26" s="42" t="str">
        <f t="shared" si="21"/>
        <v/>
      </c>
      <c r="AT26" s="42" t="str">
        <f t="shared" si="22"/>
        <v/>
      </c>
      <c r="AU26" s="42" t="str">
        <f t="shared" si="23"/>
        <v/>
      </c>
      <c r="AV26" s="42" t="str">
        <f t="shared" si="24"/>
        <v/>
      </c>
      <c r="AX26" s="42" t="str">
        <f t="shared" si="25"/>
        <v/>
      </c>
      <c r="AY26" s="42" t="str">
        <f t="shared" si="26"/>
        <v/>
      </c>
      <c r="AZ26" s="4"/>
      <c r="BA26" s="42" t="str">
        <f t="shared" si="27"/>
        <v/>
      </c>
      <c r="BB26" s="42" t="str">
        <f t="shared" si="28"/>
        <v/>
      </c>
      <c r="BC26" s="4"/>
      <c r="BD26" s="42" t="str">
        <f t="shared" si="29"/>
        <v/>
      </c>
      <c r="BE26" s="42" t="str">
        <f t="shared" si="30"/>
        <v/>
      </c>
      <c r="BF26" s="42" t="str">
        <f t="shared" si="31"/>
        <v/>
      </c>
      <c r="BG26" s="42" t="str">
        <f t="shared" si="32"/>
        <v/>
      </c>
      <c r="BH26" s="42" t="str">
        <f t="shared" si="33"/>
        <v/>
      </c>
      <c r="BI26" s="42" t="str">
        <f t="shared" si="34"/>
        <v/>
      </c>
      <c r="BJ26" s="42" t="str">
        <f t="shared" si="35"/>
        <v/>
      </c>
      <c r="BK26" s="42" t="str">
        <f t="shared" si="36"/>
        <v/>
      </c>
      <c r="BL26" s="97" t="str">
        <f>IF(C26&gt;0,IF(OR(Z26&gt;BI26,IF(B26="T",BJ26&lt;2500,BJ26&lt;0),BI26&lt;_xlfn.XLOOKUP(G26,Lookups!$A$2:$A$5,Lookups!$D$2:$D$5,,0,1)),"No","Yes"),"")</f>
        <v/>
      </c>
      <c r="BN26" s="42" t="str">
        <f t="shared" si="37"/>
        <v/>
      </c>
      <c r="BO26" s="42" t="str">
        <f t="shared" si="38"/>
        <v/>
      </c>
      <c r="BP26" s="42" t="str">
        <f t="shared" si="39"/>
        <v/>
      </c>
      <c r="BQ26" s="98" t="str">
        <f t="shared" si="40"/>
        <v/>
      </c>
      <c r="BS26" s="42" t="str">
        <f>IFERROR(IF(OR(L26&lt;_xlfn.XLOOKUP(G26,Lookups!$A$2:$A$5,Lookups!$C$2:$C$5,,0,1),FLOOR(BI26,100)&lt;_xlfn.XLOOKUP(G26,Lookups!$A$2:$A$5,Lookups!$D$2:$D$5,,0,1),AND(B26="T",FLOOR(BK26,100)&lt;2500)),0,FLOOR(BK26,100)),"")</f>
        <v/>
      </c>
    </row>
    <row r="27" spans="1:71" ht="14.25" customHeight="1" x14ac:dyDescent="0.3">
      <c r="A27" s="33" t="s">
        <v>132</v>
      </c>
      <c r="B27" s="33" t="str">
        <f t="shared" si="0"/>
        <v>E</v>
      </c>
      <c r="C27" s="33">
        <f t="shared" si="1"/>
        <v>0</v>
      </c>
      <c r="D27" s="33">
        <f t="shared" si="2"/>
        <v>0</v>
      </c>
      <c r="F27" s="80" t="str">
        <f t="shared" si="3"/>
        <v/>
      </c>
      <c r="G27" s="81" t="str">
        <f>IFERROR(_xlfn.XLOOKUP(A27,'Portfolio Schedule'!AC:AC,'Portfolio Schedule'!Y:Y),"")</f>
        <v/>
      </c>
      <c r="I27" s="82"/>
      <c r="K27" s="83" t="str">
        <f t="shared" si="4"/>
        <v/>
      </c>
      <c r="L27" s="84" t="str">
        <f t="shared" si="5"/>
        <v/>
      </c>
      <c r="M27" s="85" t="str">
        <f t="shared" si="6"/>
        <v/>
      </c>
      <c r="N27" s="86" t="str">
        <f t="shared" si="7"/>
        <v/>
      </c>
      <c r="O27" s="75"/>
      <c r="P27" s="87" t="str">
        <f t="shared" si="8"/>
        <v/>
      </c>
      <c r="Q27" s="75"/>
      <c r="R27" s="88" t="str">
        <f t="shared" si="9"/>
        <v/>
      </c>
      <c r="S27" s="75"/>
      <c r="T27" s="89"/>
      <c r="U27" s="90"/>
      <c r="V27" s="91"/>
      <c r="W27" s="92"/>
      <c r="X27" s="93" t="str">
        <f t="shared" si="10"/>
        <v/>
      </c>
      <c r="Y27" s="92"/>
      <c r="Z27" s="94">
        <f t="shared" si="11"/>
        <v>0</v>
      </c>
      <c r="AA27" s="95" t="str">
        <f t="shared" si="12"/>
        <v/>
      </c>
      <c r="AB27" s="4"/>
      <c r="AC27" s="42" t="str">
        <f t="shared" si="13"/>
        <v/>
      </c>
      <c r="AD27" s="96" t="str">
        <f t="shared" si="14"/>
        <v/>
      </c>
      <c r="AE27" s="42" t="str">
        <f t="shared" si="15"/>
        <v/>
      </c>
      <c r="AF27" s="77"/>
      <c r="AG27" s="42" t="str" cm="1">
        <f t="array" ref="AG27">IF(C27&gt;0,SUMPRODUCT(--(OriginalLenderArray="E"),--(OrderOfSubArray&gt;0),TotalLoanArray)+SUMPRODUCT(--(OriginalLenderArray="T"),--(OrderOfSubArray=0),MortgageArray)+SUMPRODUCT(--(OriginalLenderArray="T"),--(OrderOfSubArray&gt;0),TotalLoanArray)-IF(B27="T",M27,0),"")</f>
        <v/>
      </c>
      <c r="AH27" s="42" t="str" cm="1">
        <f t="array" ref="AH27">IF(C27&gt;0,SUMPRODUCT(--(OriginalLenderArray="T"),MortgageArray)+SUMPRODUCT(--(OriginalLenderArray="T"),--(OrderOfSubArray&gt;0),--(OrderOfSubArray&lt;V27),CapRaiseArray)+SUMPRODUCT(--(OriginalLenderArray="E"),--(OrderOfSubArray&gt;0),--(OrderOfSubArray&lt;V27),TotalLoanArray)-IF(B27="T",M27,0),"")</f>
        <v/>
      </c>
      <c r="AI27" s="42" t="str">
        <f t="shared" si="16"/>
        <v/>
      </c>
      <c r="AJ27" s="42" t="str" cm="1">
        <f t="array" ref="AJ27">IF(C27&gt;0,SUM(MortgageArray)+SUMPRODUCT(CapRaiseArray,--(OrderOfSubArray&lt;V27),--(OrderOfSubArray&gt;0))-M27,"")</f>
        <v/>
      </c>
      <c r="AK27" s="97" t="str" cm="1">
        <f t="array" ref="AK27">IF(C27&gt;0,COUNTIF(MortgageArray,"&gt;0")+SUMPRODUCT(--(OrderOfSubArray&gt;0),--(MortgageArray=0)),"")</f>
        <v/>
      </c>
      <c r="AL27" s="97" t="str" cm="1">
        <f t="array" ref="AL27">IF(C27&gt;0,COUNTIF(MortgageArray,"&gt;0")+SUMPRODUCT(--(OrderOfSubArray&gt;0),--(OrderOfSubArray&lt;V27),--(MortgageArray=0))+IF(M27=0,1,0),"")</f>
        <v/>
      </c>
      <c r="AM27" s="77"/>
      <c r="AN27" s="97" t="str">
        <f t="shared" si="17"/>
        <v/>
      </c>
      <c r="AO27" s="42" t="str">
        <f t="shared" si="18"/>
        <v/>
      </c>
      <c r="AP27" s="42" t="str">
        <f t="shared" si="19"/>
        <v/>
      </c>
      <c r="AR27" s="42" t="str">
        <f t="shared" si="20"/>
        <v/>
      </c>
      <c r="AS27" s="42" t="str">
        <f t="shared" si="21"/>
        <v/>
      </c>
      <c r="AT27" s="42" t="str">
        <f t="shared" si="22"/>
        <v/>
      </c>
      <c r="AU27" s="42" t="str">
        <f t="shared" si="23"/>
        <v/>
      </c>
      <c r="AV27" s="42" t="str">
        <f t="shared" si="24"/>
        <v/>
      </c>
      <c r="AX27" s="42" t="str">
        <f t="shared" si="25"/>
        <v/>
      </c>
      <c r="AY27" s="42" t="str">
        <f t="shared" si="26"/>
        <v/>
      </c>
      <c r="AZ27" s="4"/>
      <c r="BA27" s="42" t="str">
        <f t="shared" si="27"/>
        <v/>
      </c>
      <c r="BB27" s="42" t="str">
        <f t="shared" si="28"/>
        <v/>
      </c>
      <c r="BC27" s="4"/>
      <c r="BD27" s="42" t="str">
        <f t="shared" si="29"/>
        <v/>
      </c>
      <c r="BE27" s="42" t="str">
        <f t="shared" si="30"/>
        <v/>
      </c>
      <c r="BF27" s="42" t="str">
        <f t="shared" si="31"/>
        <v/>
      </c>
      <c r="BG27" s="42" t="str">
        <f t="shared" si="32"/>
        <v/>
      </c>
      <c r="BH27" s="42" t="str">
        <f t="shared" si="33"/>
        <v/>
      </c>
      <c r="BI27" s="42" t="str">
        <f t="shared" si="34"/>
        <v/>
      </c>
      <c r="BJ27" s="42" t="str">
        <f t="shared" si="35"/>
        <v/>
      </c>
      <c r="BK27" s="42" t="str">
        <f t="shared" si="36"/>
        <v/>
      </c>
      <c r="BL27" s="97" t="str">
        <f>IF(C27&gt;0,IF(OR(Z27&gt;BI27,IF(B27="T",BJ27&lt;2500,BJ27&lt;0),BI27&lt;_xlfn.XLOOKUP(G27,Lookups!$A$2:$A$5,Lookups!$D$2:$D$5,,0,1)),"No","Yes"),"")</f>
        <v/>
      </c>
      <c r="BN27" s="42" t="str">
        <f t="shared" si="37"/>
        <v/>
      </c>
      <c r="BO27" s="42" t="str">
        <f t="shared" si="38"/>
        <v/>
      </c>
      <c r="BP27" s="42" t="str">
        <f t="shared" si="39"/>
        <v/>
      </c>
      <c r="BQ27" s="98" t="str">
        <f t="shared" si="40"/>
        <v/>
      </c>
      <c r="BS27" s="42" t="str">
        <f>IFERROR(IF(OR(L27&lt;_xlfn.XLOOKUP(G27,Lookups!$A$2:$A$5,Lookups!$C$2:$C$5,,0,1),FLOOR(BI27,100)&lt;_xlfn.XLOOKUP(G27,Lookups!$A$2:$A$5,Lookups!$D$2:$D$5,,0,1),AND(B27="T",FLOOR(BK27,100)&lt;2500)),0,FLOOR(BK27,100)),"")</f>
        <v/>
      </c>
    </row>
    <row r="28" spans="1:71" ht="14.25" customHeight="1" x14ac:dyDescent="0.3">
      <c r="A28" s="33" t="s">
        <v>133</v>
      </c>
      <c r="B28" s="33" t="str">
        <f t="shared" si="0"/>
        <v>E</v>
      </c>
      <c r="C28" s="33">
        <f t="shared" si="1"/>
        <v>0</v>
      </c>
      <c r="D28" s="33">
        <f t="shared" si="2"/>
        <v>0</v>
      </c>
      <c r="F28" s="80" t="str">
        <f t="shared" si="3"/>
        <v/>
      </c>
      <c r="G28" s="81" t="str">
        <f>IFERROR(_xlfn.XLOOKUP(A28,'Portfolio Schedule'!AC:AC,'Portfolio Schedule'!Y:Y),"")</f>
        <v/>
      </c>
      <c r="I28" s="82"/>
      <c r="K28" s="83" t="str">
        <f t="shared" si="4"/>
        <v/>
      </c>
      <c r="L28" s="84" t="str">
        <f t="shared" si="5"/>
        <v/>
      </c>
      <c r="M28" s="85" t="str">
        <f t="shared" si="6"/>
        <v/>
      </c>
      <c r="N28" s="86" t="str">
        <f t="shared" si="7"/>
        <v/>
      </c>
      <c r="O28" s="75"/>
      <c r="P28" s="87" t="str">
        <f t="shared" si="8"/>
        <v/>
      </c>
      <c r="Q28" s="75"/>
      <c r="R28" s="88" t="str">
        <f t="shared" si="9"/>
        <v/>
      </c>
      <c r="S28" s="75"/>
      <c r="T28" s="89"/>
      <c r="U28" s="90"/>
      <c r="V28" s="91"/>
      <c r="W28" s="92"/>
      <c r="X28" s="93" t="str">
        <f t="shared" si="10"/>
        <v/>
      </c>
      <c r="Y28" s="92"/>
      <c r="Z28" s="94">
        <f t="shared" si="11"/>
        <v>0</v>
      </c>
      <c r="AA28" s="95" t="str">
        <f t="shared" si="12"/>
        <v/>
      </c>
      <c r="AB28" s="4"/>
      <c r="AC28" s="42" t="str">
        <f t="shared" si="13"/>
        <v/>
      </c>
      <c r="AD28" s="96" t="str">
        <f t="shared" si="14"/>
        <v/>
      </c>
      <c r="AE28" s="42" t="str">
        <f t="shared" si="15"/>
        <v/>
      </c>
      <c r="AF28" s="77"/>
      <c r="AG28" s="42" t="str" cm="1">
        <f t="array" ref="AG28">IF(C28&gt;0,SUMPRODUCT(--(OriginalLenderArray="E"),--(OrderOfSubArray&gt;0),TotalLoanArray)+SUMPRODUCT(--(OriginalLenderArray="T"),--(OrderOfSubArray=0),MortgageArray)+SUMPRODUCT(--(OriginalLenderArray="T"),--(OrderOfSubArray&gt;0),TotalLoanArray)-IF(B28="T",M28,0),"")</f>
        <v/>
      </c>
      <c r="AH28" s="42" t="str" cm="1">
        <f t="array" ref="AH28">IF(C28&gt;0,SUMPRODUCT(--(OriginalLenderArray="T"),MortgageArray)+SUMPRODUCT(--(OriginalLenderArray="T"),--(OrderOfSubArray&gt;0),--(OrderOfSubArray&lt;V28),CapRaiseArray)+SUMPRODUCT(--(OriginalLenderArray="E"),--(OrderOfSubArray&gt;0),--(OrderOfSubArray&lt;V28),TotalLoanArray)-IF(B28="T",M28,0),"")</f>
        <v/>
      </c>
      <c r="AI28" s="42" t="str">
        <f t="shared" si="16"/>
        <v/>
      </c>
      <c r="AJ28" s="42" t="str" cm="1">
        <f t="array" ref="AJ28">IF(C28&gt;0,SUM(MortgageArray)+SUMPRODUCT(CapRaiseArray,--(OrderOfSubArray&lt;V28),--(OrderOfSubArray&gt;0))-M28,"")</f>
        <v/>
      </c>
      <c r="AK28" s="97" t="str" cm="1">
        <f t="array" ref="AK28">IF(C28&gt;0,COUNTIF(MortgageArray,"&gt;0")+SUMPRODUCT(--(OrderOfSubArray&gt;0),--(MortgageArray=0)),"")</f>
        <v/>
      </c>
      <c r="AL28" s="97" t="str" cm="1">
        <f t="array" ref="AL28">IF(C28&gt;0,COUNTIF(MortgageArray,"&gt;0")+SUMPRODUCT(--(OrderOfSubArray&gt;0),--(OrderOfSubArray&lt;V28),--(MortgageArray=0))+IF(M28=0,1,0),"")</f>
        <v/>
      </c>
      <c r="AM28" s="77"/>
      <c r="AN28" s="97" t="str">
        <f t="shared" si="17"/>
        <v/>
      </c>
      <c r="AO28" s="42" t="str">
        <f t="shared" si="18"/>
        <v/>
      </c>
      <c r="AP28" s="42" t="str">
        <f t="shared" si="19"/>
        <v/>
      </c>
      <c r="AR28" s="42" t="str">
        <f t="shared" si="20"/>
        <v/>
      </c>
      <c r="AS28" s="42" t="str">
        <f t="shared" si="21"/>
        <v/>
      </c>
      <c r="AT28" s="42" t="str">
        <f t="shared" si="22"/>
        <v/>
      </c>
      <c r="AU28" s="42" t="str">
        <f t="shared" si="23"/>
        <v/>
      </c>
      <c r="AV28" s="42" t="str">
        <f t="shared" si="24"/>
        <v/>
      </c>
      <c r="AX28" s="42" t="str">
        <f t="shared" si="25"/>
        <v/>
      </c>
      <c r="AY28" s="42" t="str">
        <f t="shared" si="26"/>
        <v/>
      </c>
      <c r="AZ28" s="4"/>
      <c r="BA28" s="42" t="str">
        <f t="shared" si="27"/>
        <v/>
      </c>
      <c r="BB28" s="42" t="str">
        <f t="shared" si="28"/>
        <v/>
      </c>
      <c r="BC28" s="4"/>
      <c r="BD28" s="42" t="str">
        <f t="shared" si="29"/>
        <v/>
      </c>
      <c r="BE28" s="42" t="str">
        <f t="shared" si="30"/>
        <v/>
      </c>
      <c r="BF28" s="42" t="str">
        <f t="shared" si="31"/>
        <v/>
      </c>
      <c r="BG28" s="42" t="str">
        <f t="shared" si="32"/>
        <v/>
      </c>
      <c r="BH28" s="42" t="str">
        <f t="shared" si="33"/>
        <v/>
      </c>
      <c r="BI28" s="42" t="str">
        <f t="shared" si="34"/>
        <v/>
      </c>
      <c r="BJ28" s="42" t="str">
        <f t="shared" si="35"/>
        <v/>
      </c>
      <c r="BK28" s="42" t="str">
        <f t="shared" si="36"/>
        <v/>
      </c>
      <c r="BL28" s="97" t="str">
        <f>IF(C28&gt;0,IF(OR(Z28&gt;BI28,IF(B28="T",BJ28&lt;2500,BJ28&lt;0),BI28&lt;_xlfn.XLOOKUP(G28,Lookups!$A$2:$A$5,Lookups!$D$2:$D$5,,0,1)),"No","Yes"),"")</f>
        <v/>
      </c>
      <c r="BN28" s="42" t="str">
        <f t="shared" si="37"/>
        <v/>
      </c>
      <c r="BO28" s="42" t="str">
        <f t="shared" si="38"/>
        <v/>
      </c>
      <c r="BP28" s="42" t="str">
        <f t="shared" si="39"/>
        <v/>
      </c>
      <c r="BQ28" s="98" t="str">
        <f t="shared" si="40"/>
        <v/>
      </c>
      <c r="BS28" s="42" t="str">
        <f>IFERROR(IF(OR(L28&lt;_xlfn.XLOOKUP(G28,Lookups!$A$2:$A$5,Lookups!$C$2:$C$5,,0,1),FLOOR(BI28,100)&lt;_xlfn.XLOOKUP(G28,Lookups!$A$2:$A$5,Lookups!$D$2:$D$5,,0,1),AND(B28="T",FLOOR(BK28,100)&lt;2500)),0,FLOOR(BK28,100)),"")</f>
        <v/>
      </c>
    </row>
    <row r="29" spans="1:71" ht="14.25" customHeight="1" x14ac:dyDescent="0.3">
      <c r="A29" s="33" t="s">
        <v>134</v>
      </c>
      <c r="B29" s="33" t="str">
        <f t="shared" si="0"/>
        <v>E</v>
      </c>
      <c r="C29" s="33">
        <f t="shared" si="1"/>
        <v>0</v>
      </c>
      <c r="D29" s="33">
        <f t="shared" si="2"/>
        <v>0</v>
      </c>
      <c r="F29" s="80" t="str">
        <f t="shared" si="3"/>
        <v/>
      </c>
      <c r="G29" s="81" t="str">
        <f>IFERROR(_xlfn.XLOOKUP(A29,'Portfolio Schedule'!AC:AC,'Portfolio Schedule'!Y:Y),"")</f>
        <v/>
      </c>
      <c r="I29" s="82"/>
      <c r="K29" s="83" t="str">
        <f t="shared" si="4"/>
        <v/>
      </c>
      <c r="L29" s="84" t="str">
        <f t="shared" si="5"/>
        <v/>
      </c>
      <c r="M29" s="85" t="str">
        <f t="shared" si="6"/>
        <v/>
      </c>
      <c r="N29" s="86" t="str">
        <f t="shared" si="7"/>
        <v/>
      </c>
      <c r="O29" s="75"/>
      <c r="P29" s="87" t="str">
        <f t="shared" si="8"/>
        <v/>
      </c>
      <c r="Q29" s="75"/>
      <c r="R29" s="88" t="str">
        <f t="shared" si="9"/>
        <v/>
      </c>
      <c r="S29" s="75"/>
      <c r="T29" s="89"/>
      <c r="U29" s="90"/>
      <c r="V29" s="91"/>
      <c r="W29" s="92"/>
      <c r="X29" s="93" t="str">
        <f t="shared" si="10"/>
        <v/>
      </c>
      <c r="Y29" s="92"/>
      <c r="Z29" s="94">
        <f t="shared" si="11"/>
        <v>0</v>
      </c>
      <c r="AA29" s="95" t="str">
        <f t="shared" si="12"/>
        <v/>
      </c>
      <c r="AB29" s="4"/>
      <c r="AC29" s="42" t="str">
        <f t="shared" si="13"/>
        <v/>
      </c>
      <c r="AD29" s="96" t="str">
        <f t="shared" si="14"/>
        <v/>
      </c>
      <c r="AE29" s="42" t="str">
        <f t="shared" si="15"/>
        <v/>
      </c>
      <c r="AF29" s="77"/>
      <c r="AG29" s="42" t="str" cm="1">
        <f t="array" ref="AG29">IF(C29&gt;0,SUMPRODUCT(--(OriginalLenderArray="E"),--(OrderOfSubArray&gt;0),TotalLoanArray)+SUMPRODUCT(--(OriginalLenderArray="T"),--(OrderOfSubArray=0),MortgageArray)+SUMPRODUCT(--(OriginalLenderArray="T"),--(OrderOfSubArray&gt;0),TotalLoanArray)-IF(B29="T",M29,0),"")</f>
        <v/>
      </c>
      <c r="AH29" s="42" t="str" cm="1">
        <f t="array" ref="AH29">IF(C29&gt;0,SUMPRODUCT(--(OriginalLenderArray="T"),MortgageArray)+SUMPRODUCT(--(OriginalLenderArray="T"),--(OrderOfSubArray&gt;0),--(OrderOfSubArray&lt;V29),CapRaiseArray)+SUMPRODUCT(--(OriginalLenderArray="E"),--(OrderOfSubArray&gt;0),--(OrderOfSubArray&lt;V29),TotalLoanArray)-IF(B29="T",M29,0),"")</f>
        <v/>
      </c>
      <c r="AI29" s="42" t="str">
        <f t="shared" si="16"/>
        <v/>
      </c>
      <c r="AJ29" s="42" t="str" cm="1">
        <f t="array" ref="AJ29">IF(C29&gt;0,SUM(MortgageArray)+SUMPRODUCT(CapRaiseArray,--(OrderOfSubArray&lt;V29),--(OrderOfSubArray&gt;0))-M29,"")</f>
        <v/>
      </c>
      <c r="AK29" s="97" t="str" cm="1">
        <f t="array" ref="AK29">IF(C29&gt;0,COUNTIF(MortgageArray,"&gt;0")+SUMPRODUCT(--(OrderOfSubArray&gt;0),--(MortgageArray=0)),"")</f>
        <v/>
      </c>
      <c r="AL29" s="97" t="str" cm="1">
        <f t="array" ref="AL29">IF(C29&gt;0,COUNTIF(MortgageArray,"&gt;0")+SUMPRODUCT(--(OrderOfSubArray&gt;0),--(OrderOfSubArray&lt;V29),--(MortgageArray=0))+IF(M29=0,1,0),"")</f>
        <v/>
      </c>
      <c r="AM29" s="77"/>
      <c r="AN29" s="97" t="str">
        <f t="shared" si="17"/>
        <v/>
      </c>
      <c r="AO29" s="42" t="str">
        <f t="shared" si="18"/>
        <v/>
      </c>
      <c r="AP29" s="42" t="str">
        <f t="shared" si="19"/>
        <v/>
      </c>
      <c r="AR29" s="42" t="str">
        <f t="shared" si="20"/>
        <v/>
      </c>
      <c r="AS29" s="42" t="str">
        <f t="shared" si="21"/>
        <v/>
      </c>
      <c r="AT29" s="42" t="str">
        <f t="shared" si="22"/>
        <v/>
      </c>
      <c r="AU29" s="42" t="str">
        <f t="shared" si="23"/>
        <v/>
      </c>
      <c r="AV29" s="42" t="str">
        <f t="shared" si="24"/>
        <v/>
      </c>
      <c r="AX29" s="42" t="str">
        <f t="shared" si="25"/>
        <v/>
      </c>
      <c r="AY29" s="42" t="str">
        <f t="shared" si="26"/>
        <v/>
      </c>
      <c r="AZ29" s="4"/>
      <c r="BA29" s="42" t="str">
        <f t="shared" si="27"/>
        <v/>
      </c>
      <c r="BB29" s="42" t="str">
        <f t="shared" si="28"/>
        <v/>
      </c>
      <c r="BC29" s="4"/>
      <c r="BD29" s="42" t="str">
        <f t="shared" si="29"/>
        <v/>
      </c>
      <c r="BE29" s="42" t="str">
        <f t="shared" si="30"/>
        <v/>
      </c>
      <c r="BF29" s="42" t="str">
        <f t="shared" si="31"/>
        <v/>
      </c>
      <c r="BG29" s="42" t="str">
        <f t="shared" si="32"/>
        <v/>
      </c>
      <c r="BH29" s="42" t="str">
        <f t="shared" si="33"/>
        <v/>
      </c>
      <c r="BI29" s="42" t="str">
        <f t="shared" si="34"/>
        <v/>
      </c>
      <c r="BJ29" s="42" t="str">
        <f t="shared" si="35"/>
        <v/>
      </c>
      <c r="BK29" s="42" t="str">
        <f t="shared" si="36"/>
        <v/>
      </c>
      <c r="BL29" s="97" t="str">
        <f>IF(C29&gt;0,IF(OR(Z29&gt;BI29,IF(B29="T",BJ29&lt;2500,BJ29&lt;0),BI29&lt;_xlfn.XLOOKUP(G29,Lookups!$A$2:$A$5,Lookups!$D$2:$D$5,,0,1)),"No","Yes"),"")</f>
        <v/>
      </c>
      <c r="BN29" s="42" t="str">
        <f t="shared" si="37"/>
        <v/>
      </c>
      <c r="BO29" s="42" t="str">
        <f t="shared" si="38"/>
        <v/>
      </c>
      <c r="BP29" s="42" t="str">
        <f t="shared" si="39"/>
        <v/>
      </c>
      <c r="BQ29" s="98" t="str">
        <f t="shared" si="40"/>
        <v/>
      </c>
      <c r="BS29" s="42" t="str">
        <f>IFERROR(IF(OR(L29&lt;_xlfn.XLOOKUP(G29,Lookups!$A$2:$A$5,Lookups!$C$2:$C$5,,0,1),FLOOR(BI29,100)&lt;_xlfn.XLOOKUP(G29,Lookups!$A$2:$A$5,Lookups!$D$2:$D$5,,0,1),AND(B29="T",FLOOR(BK29,100)&lt;2500)),0,FLOOR(BK29,100)),"")</f>
        <v/>
      </c>
    </row>
    <row r="30" spans="1:71" ht="6" customHeight="1" x14ac:dyDescent="0.3">
      <c r="F30" s="75"/>
      <c r="G30" s="75"/>
      <c r="H30" s="75"/>
      <c r="I30" s="75"/>
      <c r="J30" s="75"/>
      <c r="K30" s="75"/>
      <c r="L30" s="75"/>
      <c r="M30" s="75"/>
      <c r="N30" s="75"/>
      <c r="O30" s="75"/>
      <c r="P30" s="75"/>
      <c r="Q30" s="75"/>
      <c r="R30" s="75"/>
      <c r="S30" s="75"/>
      <c r="T30" s="75"/>
      <c r="U30" s="75"/>
      <c r="V30" s="75"/>
      <c r="W30" s="75"/>
      <c r="X30" s="75"/>
      <c r="Y30" s="75"/>
      <c r="Z30" s="75"/>
      <c r="AA30" s="75"/>
      <c r="AB30" s="4"/>
      <c r="AN30" s="4"/>
      <c r="AP30" s="4"/>
      <c r="AY30" s="4"/>
      <c r="AZ30" s="4"/>
      <c r="BA30" s="4"/>
      <c r="BB30" s="4"/>
      <c r="BC30" s="4"/>
    </row>
    <row r="31" spans="1:71" ht="14.25" customHeight="1" x14ac:dyDescent="0.3">
      <c r="F31" s="172" t="s">
        <v>135</v>
      </c>
      <c r="G31" s="172"/>
      <c r="H31" s="172"/>
      <c r="I31" s="172"/>
      <c r="J31" s="172"/>
      <c r="K31" s="172"/>
      <c r="L31" s="172"/>
      <c r="M31" s="172"/>
      <c r="N31" s="172"/>
      <c r="O31" s="172"/>
      <c r="P31" s="172"/>
      <c r="Q31" s="172"/>
      <c r="R31" s="172"/>
      <c r="S31" s="172"/>
      <c r="T31" s="172"/>
      <c r="U31" s="172"/>
      <c r="V31" s="172"/>
      <c r="W31" s="172"/>
      <c r="X31" s="172"/>
      <c r="Y31" s="172"/>
      <c r="Z31" s="172"/>
      <c r="AA31" s="172"/>
      <c r="AB31" s="4"/>
      <c r="AN31" s="4"/>
      <c r="AP31" s="4"/>
      <c r="AY31" s="4"/>
      <c r="AZ31" s="4"/>
      <c r="BA31" s="4"/>
      <c r="BB31" s="4"/>
      <c r="BC31" s="4"/>
    </row>
    <row r="32" spans="1:71" ht="6" customHeight="1" x14ac:dyDescent="0.3">
      <c r="F32" s="75"/>
      <c r="G32" s="75"/>
      <c r="H32" s="75"/>
      <c r="I32" s="75"/>
      <c r="J32" s="75"/>
      <c r="K32" s="75"/>
      <c r="L32" s="75"/>
      <c r="M32" s="75"/>
      <c r="N32" s="75"/>
      <c r="O32" s="75"/>
      <c r="P32" s="75"/>
      <c r="Q32" s="75"/>
      <c r="R32" s="75"/>
      <c r="S32" s="75"/>
      <c r="T32" s="75"/>
      <c r="U32" s="75"/>
      <c r="V32" s="75"/>
      <c r="W32" s="75"/>
      <c r="X32" s="75"/>
      <c r="Y32" s="75"/>
      <c r="Z32" s="75"/>
      <c r="AA32" s="75"/>
      <c r="AB32" s="4"/>
      <c r="AN32" s="4"/>
      <c r="AP32" s="4"/>
      <c r="AX32" s="77"/>
      <c r="AY32" s="77"/>
      <c r="AZ32" s="4"/>
      <c r="BA32" s="4"/>
      <c r="BB32" s="4"/>
      <c r="BC32" s="4"/>
    </row>
    <row r="33" spans="1:71" ht="14.25" customHeight="1" x14ac:dyDescent="0.3">
      <c r="A33" s="33" t="s">
        <v>136</v>
      </c>
      <c r="B33" s="33" t="str">
        <f t="shared" ref="B33:B44" si="41">LEFT(A33,1)</f>
        <v>T</v>
      </c>
      <c r="C33" s="33">
        <f t="shared" ref="C33:C44" si="42">IF(F33="",0,1)</f>
        <v>0</v>
      </c>
      <c r="D33" s="33">
        <f t="shared" ref="D33:D44" si="43">IF(C33=0,0,IF(OR(LEFT(A33,1) ="T",V33&gt;0),1,0))</f>
        <v>0</v>
      </c>
      <c r="F33" s="80" t="str">
        <f t="shared" ref="F33:F44" si="44">IFERROR(_xlfn.XLOOKUP(A33,UniqueIdentifierArray,AddressArray,"",0,1),"")</f>
        <v/>
      </c>
      <c r="G33" s="81" t="str">
        <f>IFERROR(_xlfn.XLOOKUP(A33,'Portfolio Schedule'!AC:AC,'Portfolio Schedule'!Y:Y),"")</f>
        <v/>
      </c>
      <c r="I33" s="82"/>
      <c r="K33" s="83" t="str">
        <f t="shared" ref="K33:K44" si="45">IFERROR(_xlfn.XLOOKUP(A33,UniqueIdentifierArray,MonthlyRentalArray,"",0,1),"")</f>
        <v/>
      </c>
      <c r="L33" s="84" t="str">
        <f t="shared" ref="L33:L44" si="46">IFERROR(_xlfn.XLOOKUP(A33,UniqueIdentifierArray,CurrentEstimatedValuationArray,"",0,1),"")</f>
        <v/>
      </c>
      <c r="M33" s="85" t="str">
        <f t="shared" ref="M33:M44" si="47">IFERROR(FLOOR(_xlfn.XLOOKUP(A33,UniqueIdentifierArray,MortgageBalanceArray,"",0,1),100),"")</f>
        <v/>
      </c>
      <c r="N33" s="86" t="str">
        <f t="shared" ref="N33:N44" si="48">IFERROR(M33/L33,"")</f>
        <v/>
      </c>
      <c r="O33" s="75"/>
      <c r="P33" s="87" t="str">
        <f t="shared" ref="P33:P44" si="49">IF(C33&gt;0,"-","")</f>
        <v/>
      </c>
      <c r="Q33" s="75"/>
      <c r="R33" s="88" t="str">
        <f t="shared" ref="R33:R44" si="50">IF(BS33&gt;0,BS33,"")</f>
        <v/>
      </c>
      <c r="S33" s="75"/>
      <c r="T33" s="99"/>
      <c r="U33" s="90"/>
      <c r="V33" s="100"/>
      <c r="W33" s="92"/>
      <c r="X33" s="93" t="str">
        <f t="shared" ref="X33:X44" si="51">IF(BQ33&gt;0,BQ33,"")</f>
        <v/>
      </c>
      <c r="Y33" s="92"/>
      <c r="Z33" s="101">
        <f t="shared" ref="Z33:Z44" si="52">IF(V33&gt;0,SUM(M33,T33),0)</f>
        <v>0</v>
      </c>
      <c r="AA33" s="86" t="str">
        <f t="shared" ref="AA33:AA44" si="53">IFERROR(SUM(T33,M33)/L33,"")</f>
        <v/>
      </c>
      <c r="AB33" s="4"/>
      <c r="AC33" s="42" t="str">
        <f t="shared" ref="AC33:AC44" si="54">IF(C33&gt;0,L33*$AC$9,"")</f>
        <v/>
      </c>
      <c r="AD33" s="96" t="str">
        <f t="shared" ref="AD33:AD44" si="55">IF(C33&gt;0,VLOOKUP(G33,Min_ICR,2,FALSE),"")</f>
        <v/>
      </c>
      <c r="AE33" s="42" t="str">
        <f t="shared" ref="AE33:AE44" si="56">IF(C33&gt;0,ROUNDDOWN(K33*12/AD33/AE$9-M33*AE$8/AE$9+M33,0),"")</f>
        <v/>
      </c>
      <c r="AF33" s="77"/>
      <c r="AG33" s="42" t="str" cm="1">
        <f t="array" ref="AG33">IF(C33&gt;0,SUMPRODUCT(--(OriginalLenderArray="E"),--(OrderOfSubArray&gt;0),TotalLoanArray)+SUMPRODUCT(--(OriginalLenderArray="T"),--(OrderOfSubArray=0),MortgageArray)+SUMPRODUCT(--(OriginalLenderArray="T"),--(OrderOfSubArray&gt;0),TotalLoanArray)-IF(B33="T",M33,0),"")</f>
        <v/>
      </c>
      <c r="AH33" s="42" t="str" cm="1">
        <f t="array" ref="AH33">IF(C33&gt;0,SUMPRODUCT(--(OriginalLenderArray="T"),MortgageArray)+SUMPRODUCT(--(OriginalLenderArray="T"),--(OrderOfSubArray&gt;0),--(OrderOfSubArray&lt;V33),CapRaiseArray)+SUMPRODUCT(--(OriginalLenderArray="E"),--(OrderOfSubArray&gt;0),--(OrderOfSubArray&lt;V33),TotalLoanArray)-IF(B33="T",M33,0),"")</f>
        <v/>
      </c>
      <c r="AI33" s="42" t="str">
        <f t="shared" ref="AI33:AI44" si="57">IF(C33&gt;0,SUM(MortgageArray)+SUMIF(OrderOfSubArray,"&gt;0",CapRaiseArray)-M33-IF(V33&gt;0,T33,0),"")</f>
        <v/>
      </c>
      <c r="AJ33" s="42" t="str">
        <f t="shared" ref="AJ33:AJ44" si="58">IF(C33&gt;0,SUM(MortgageArray)+SUMPRODUCT(CapRaiseArray,--(OrderOfSubArray&lt;V33),--(OrderOfSubArray&gt;0))-M33,"")</f>
        <v/>
      </c>
      <c r="AK33" s="97" t="str" cm="1">
        <f t="array" ref="AK33">IF(C33&gt;0,COUNTIF(MortgageArray,"&gt;0")+SUMPRODUCT(--(OrderOfSubArray&gt;0),--(MortgageArray=0)),"")</f>
        <v/>
      </c>
      <c r="AL33" s="97" t="str" cm="1">
        <f t="array" ref="AL33">IF(C33&gt;0,COUNTIF(MortgageArray,"&gt;0")+SUMPRODUCT(--(OrderOfSubArray&gt;0),--(OrderOfSubArray&lt;V33),--(MortgageArray=0))+IF(M33=0,1,0),"")</f>
        <v/>
      </c>
      <c r="AM33" s="77"/>
      <c r="AN33" s="97" t="str">
        <f t="shared" ref="AN33:AN44" si="59">IF(C33&gt;0,IF(V33&gt;0,AL33,AK33),"")</f>
        <v/>
      </c>
      <c r="AO33" s="42" t="str">
        <f t="shared" ref="AO33:AO44" si="60">IF(C33&gt;0,IF(V33&gt;0,AH33,AG33),"")</f>
        <v/>
      </c>
      <c r="AP33" s="42" t="str">
        <f t="shared" ref="AP33:AP44" si="61">IF(C33&gt;0,IF(V33&gt;0,AJ33,AI33),"")</f>
        <v/>
      </c>
      <c r="AR33" s="42" t="str">
        <f t="shared" ref="AR33:AR44" si="62">IF(C33&gt;0,MIN($L33*AR$8,AR$9-$AO33),"")</f>
        <v/>
      </c>
      <c r="AS33" s="42" t="str">
        <f t="shared" ref="AS33:AS44" si="63">IF(C33&gt;0,MIN($L33*AS$8,AS$9-$AO33),"")</f>
        <v/>
      </c>
      <c r="AT33" s="42" t="str">
        <f t="shared" ref="AT33:AT44" si="64">IF(C33&gt;0,MIN($L33*AT$8,AT$9-$AO33),"")</f>
        <v/>
      </c>
      <c r="AU33" s="42" t="str">
        <f t="shared" ref="AU33:AU44" si="65">IF(C33&gt;0,MIN($L33*AU$8,AU$9-$AO33),"")</f>
        <v/>
      </c>
      <c r="AV33" s="42" t="str">
        <f t="shared" ref="AV33:AV44" si="66">IF(C33&gt;0,MIN($L33*AV$8,AV$9-$AO33),"")</f>
        <v/>
      </c>
      <c r="AX33" s="42" t="str">
        <f t="shared" ref="AX33:AX44" si="67">IF(C33&gt;0,IF($AN33&gt;10,0,MIN(AX$9-$AO33,Port_Val*AX$8-$AP33)),"")</f>
        <v/>
      </c>
      <c r="AY33" s="42" t="str">
        <f t="shared" ref="AY33:AY44" si="68">IF(C33&gt;0,Port_Val*AY$8-AP33,"")</f>
        <v/>
      </c>
      <c r="AZ33" s="4"/>
      <c r="BA33" s="42" t="str">
        <f t="shared" ref="BA33:BA44" si="69">IF(C33&gt;0,ROUNDDOWN(IF($AN33&gt;10,0,MIN(BA$9-$AO33,Port_Rent*12/BA$8/1.45-AP33)),0),"")</f>
        <v/>
      </c>
      <c r="BB33" s="42" t="str">
        <f t="shared" ref="BB33:BB44" si="70">IF(C33&gt;0,ROUNDDOWN(Port_Rent*12/BB$8/1.45-AP33,0),"")</f>
        <v/>
      </c>
      <c r="BC33" s="4"/>
      <c r="BD33" s="42" t="str">
        <f t="shared" ref="BD33:BD44" si="71">AE33</f>
        <v/>
      </c>
      <c r="BE33" s="42" t="str">
        <f t="shared" ref="BE33:BE44" si="72">AC33</f>
        <v/>
      </c>
      <c r="BF33" s="42" t="str">
        <f t="shared" ref="BF33:BF44" si="73">IF(C33&gt;0,MAX(AR33:AV33),"")</f>
        <v/>
      </c>
      <c r="BG33" s="42" t="str">
        <f t="shared" ref="BG33:BG44" si="74">IF(C33&gt;0,MAX(AX33,AY33),"")</f>
        <v/>
      </c>
      <c r="BH33" s="42" t="str">
        <f t="shared" ref="BH33:BH44" si="75">IF(C33&gt;0,MAX(BA33:BB33),"")</f>
        <v/>
      </c>
      <c r="BI33" s="42" t="str">
        <f t="shared" ref="BI33:BI44" si="76">IF(C33&gt;0,FLOOR(MIN(BD33:BH33),100),"")</f>
        <v/>
      </c>
      <c r="BJ33" s="42" t="str">
        <f t="shared" ref="BJ33:BJ44" si="77">IFERROR(BI33-M33,"")</f>
        <v/>
      </c>
      <c r="BK33" s="42" t="str">
        <f t="shared" ref="BK33:BK44" si="78">IF(C33&gt;0,BI33-M33,"")</f>
        <v/>
      </c>
      <c r="BL33" s="97" t="str">
        <f>IF(C33&gt;0,IF(OR(Z33&gt;BI33,IF(B33="T",BJ33&lt;2500,BJ33&lt;0),BI33&lt;_xlfn.XLOOKUP(G33,Lookups!$A$2:$A$5,Lookups!$D$2:$D$5,,0,1)),"No","Yes"),"")</f>
        <v/>
      </c>
      <c r="BN33" s="42" t="str">
        <f t="shared" ref="BN33:BN44" si="79">IF(C33&gt;0,T33+M33,"")</f>
        <v/>
      </c>
      <c r="BO33" s="42" t="str">
        <f t="shared" ref="BO33:BO44" si="80">IF(C33&gt;0,FLOOR(MIN(BF33:BH33),100),"")</f>
        <v/>
      </c>
      <c r="BP33" s="42" t="str">
        <f t="shared" ref="BP33:BP44" si="81">IF(C33&gt;0,IF(B33="E",IF(BN33&gt;MIN(BO33,BE33),FALSE,TRUE),IF(OR(BN33&gt;MIN(BO33,BE33),BN33&lt;M33+2500),FALSE,TRUE)),"")</f>
        <v/>
      </c>
      <c r="BQ33" s="98" t="str">
        <f t="shared" ref="BQ33:BQ44" si="82">IFERROR(IF(AND(C33&gt;0,BP33=TRUE),ROUNDDOWN((K33*12/AD33-M33*AE$8)/T33,4),""),"")</f>
        <v/>
      </c>
      <c r="BS33" s="42" t="str">
        <f>IFERROR(IF(OR(L33&lt;_xlfn.XLOOKUP(G33,Lookups!$A$2:$A$5,Lookups!$C$2:$C$5,,0,1),FLOOR(BI33,100)&lt;_xlfn.XLOOKUP(G33,Lookups!$A$2:$A$5,Lookups!$D$2:$D$5,,0,1),AND(B33="T",FLOOR(BK33,100)&lt;2500)),0,FLOOR(BK33,100)),"")</f>
        <v/>
      </c>
    </row>
    <row r="34" spans="1:71" ht="14.25" customHeight="1" x14ac:dyDescent="0.3">
      <c r="A34" s="33" t="s">
        <v>137</v>
      </c>
      <c r="B34" s="33" t="str">
        <f t="shared" si="41"/>
        <v>T</v>
      </c>
      <c r="C34" s="33">
        <f t="shared" si="42"/>
        <v>0</v>
      </c>
      <c r="D34" s="33">
        <f t="shared" si="43"/>
        <v>0</v>
      </c>
      <c r="F34" s="80" t="str">
        <f t="shared" si="44"/>
        <v/>
      </c>
      <c r="G34" s="81" t="str">
        <f>IFERROR(_xlfn.XLOOKUP(A34,'Portfolio Schedule'!AC:AC,'Portfolio Schedule'!Y:Y),"")</f>
        <v/>
      </c>
      <c r="I34" s="82"/>
      <c r="K34" s="83" t="str">
        <f t="shared" si="45"/>
        <v/>
      </c>
      <c r="L34" s="84" t="str">
        <f t="shared" si="46"/>
        <v/>
      </c>
      <c r="M34" s="85" t="str">
        <f t="shared" si="47"/>
        <v/>
      </c>
      <c r="N34" s="86" t="str">
        <f t="shared" si="48"/>
        <v/>
      </c>
      <c r="O34" s="75"/>
      <c r="P34" s="87" t="str">
        <f t="shared" si="49"/>
        <v/>
      </c>
      <c r="Q34" s="75"/>
      <c r="R34" s="88" t="str">
        <f t="shared" si="50"/>
        <v/>
      </c>
      <c r="S34" s="75"/>
      <c r="T34" s="99"/>
      <c r="U34" s="90"/>
      <c r="V34" s="100"/>
      <c r="W34" s="92"/>
      <c r="X34" s="93" t="str">
        <f t="shared" si="51"/>
        <v/>
      </c>
      <c r="Y34" s="92"/>
      <c r="Z34" s="101">
        <f t="shared" si="52"/>
        <v>0</v>
      </c>
      <c r="AA34" s="86" t="str">
        <f t="shared" si="53"/>
        <v/>
      </c>
      <c r="AB34" s="4"/>
      <c r="AC34" s="42" t="str">
        <f t="shared" si="54"/>
        <v/>
      </c>
      <c r="AD34" s="96" t="str">
        <f t="shared" si="55"/>
        <v/>
      </c>
      <c r="AE34" s="42" t="str">
        <f t="shared" si="56"/>
        <v/>
      </c>
      <c r="AF34" s="77"/>
      <c r="AG34" s="42" t="str" cm="1">
        <f t="array" ref="AG34">IF(C34&gt;0,SUMPRODUCT(--(OriginalLenderArray="E"),--(OrderOfSubArray&gt;0),TotalLoanArray)+SUMPRODUCT(--(OriginalLenderArray="T"),--(OrderOfSubArray=0),MortgageArray)+SUMPRODUCT(--(OriginalLenderArray="T"),--(OrderOfSubArray&gt;0),TotalLoanArray)-IF(B34="T",M34,0),"")</f>
        <v/>
      </c>
      <c r="AH34" s="42" t="str" cm="1">
        <f t="array" ref="AH34">IF(C34&gt;0,SUMPRODUCT(--(OriginalLenderArray="T"),MortgageArray)+SUMPRODUCT(--(OriginalLenderArray="T"),--(OrderOfSubArray&gt;0),--(OrderOfSubArray&lt;V34),CapRaiseArray)+SUMPRODUCT(--(OriginalLenderArray="E"),--(OrderOfSubArray&gt;0),--(OrderOfSubArray&lt;V34),TotalLoanArray)-IF(B34="T",M34,0),"")</f>
        <v/>
      </c>
      <c r="AI34" s="42" t="str">
        <f t="shared" si="57"/>
        <v/>
      </c>
      <c r="AJ34" s="42" t="str">
        <f t="shared" si="58"/>
        <v/>
      </c>
      <c r="AK34" s="97" t="str" cm="1">
        <f t="array" ref="AK34">IF(C34&gt;0,COUNTIF(MortgageArray,"&gt;0")+SUMPRODUCT(--(OrderOfSubArray&gt;0),--(MortgageArray=0)),"")</f>
        <v/>
      </c>
      <c r="AL34" s="97" t="str" cm="1">
        <f t="array" ref="AL34">IF(C34&gt;0,COUNTIF(MortgageArray,"&gt;0")+SUMPRODUCT(--(OrderOfSubArray&gt;0),--(OrderOfSubArray&lt;V34),--(MortgageArray=0))+IF(M34=0,1,0),"")</f>
        <v/>
      </c>
      <c r="AM34" s="77"/>
      <c r="AN34" s="97" t="str">
        <f t="shared" si="59"/>
        <v/>
      </c>
      <c r="AO34" s="42" t="str">
        <f t="shared" si="60"/>
        <v/>
      </c>
      <c r="AP34" s="42" t="str">
        <f t="shared" si="61"/>
        <v/>
      </c>
      <c r="AR34" s="42" t="str">
        <f t="shared" si="62"/>
        <v/>
      </c>
      <c r="AS34" s="42" t="str">
        <f t="shared" si="63"/>
        <v/>
      </c>
      <c r="AT34" s="42" t="str">
        <f t="shared" si="64"/>
        <v/>
      </c>
      <c r="AU34" s="42" t="str">
        <f t="shared" si="65"/>
        <v/>
      </c>
      <c r="AV34" s="42" t="str">
        <f t="shared" si="66"/>
        <v/>
      </c>
      <c r="AX34" s="42" t="str">
        <f t="shared" si="67"/>
        <v/>
      </c>
      <c r="AY34" s="42" t="str">
        <f t="shared" si="68"/>
        <v/>
      </c>
      <c r="AZ34" s="4"/>
      <c r="BA34" s="42" t="str">
        <f t="shared" si="69"/>
        <v/>
      </c>
      <c r="BB34" s="42" t="str">
        <f t="shared" si="70"/>
        <v/>
      </c>
      <c r="BC34" s="4"/>
      <c r="BD34" s="42" t="str">
        <f t="shared" si="71"/>
        <v/>
      </c>
      <c r="BE34" s="42" t="str">
        <f t="shared" si="72"/>
        <v/>
      </c>
      <c r="BF34" s="42" t="str">
        <f t="shared" si="73"/>
        <v/>
      </c>
      <c r="BG34" s="42" t="str">
        <f t="shared" si="74"/>
        <v/>
      </c>
      <c r="BH34" s="42" t="str">
        <f t="shared" si="75"/>
        <v/>
      </c>
      <c r="BI34" s="42" t="str">
        <f t="shared" si="76"/>
        <v/>
      </c>
      <c r="BJ34" s="42" t="str">
        <f t="shared" si="77"/>
        <v/>
      </c>
      <c r="BK34" s="42" t="str">
        <f t="shared" si="78"/>
        <v/>
      </c>
      <c r="BL34" s="97" t="str">
        <f>IF(C34&gt;0,IF(OR(Z34&gt;BI34,IF(B34="T",BJ34&lt;2500,BJ34&lt;0),BI34&lt;_xlfn.XLOOKUP(G34,Lookups!$A$2:$A$5,Lookups!$D$2:$D$5,,0,1)),"No","Yes"),"")</f>
        <v/>
      </c>
      <c r="BN34" s="42" t="str">
        <f t="shared" si="79"/>
        <v/>
      </c>
      <c r="BO34" s="42" t="str">
        <f t="shared" si="80"/>
        <v/>
      </c>
      <c r="BP34" s="42" t="str">
        <f t="shared" si="81"/>
        <v/>
      </c>
      <c r="BQ34" s="98" t="str">
        <f t="shared" si="82"/>
        <v/>
      </c>
      <c r="BS34" s="42" t="str">
        <f>IFERROR(IF(OR(L34&lt;_xlfn.XLOOKUP(G34,Lookups!$A$2:$A$5,Lookups!$C$2:$C$5,,0,1),FLOOR(BI34,100)&lt;_xlfn.XLOOKUP(G34,Lookups!$A$2:$A$5,Lookups!$D$2:$D$5,,0,1),AND(B34="T",FLOOR(BK34,100)&lt;2500)),0,FLOOR(BK34,100)),"")</f>
        <v/>
      </c>
    </row>
    <row r="35" spans="1:71" ht="14.25" customHeight="1" x14ac:dyDescent="0.3">
      <c r="A35" s="33" t="s">
        <v>138</v>
      </c>
      <c r="B35" s="33" t="str">
        <f t="shared" si="41"/>
        <v>T</v>
      </c>
      <c r="C35" s="33">
        <f t="shared" si="42"/>
        <v>0</v>
      </c>
      <c r="D35" s="33">
        <f t="shared" si="43"/>
        <v>0</v>
      </c>
      <c r="F35" s="80" t="str">
        <f t="shared" si="44"/>
        <v/>
      </c>
      <c r="G35" s="81" t="str">
        <f>IFERROR(_xlfn.XLOOKUP(A35,'Portfolio Schedule'!AC:AC,'Portfolio Schedule'!Y:Y),"")</f>
        <v/>
      </c>
      <c r="I35" s="82"/>
      <c r="K35" s="83" t="str">
        <f t="shared" si="45"/>
        <v/>
      </c>
      <c r="L35" s="84" t="str">
        <f t="shared" si="46"/>
        <v/>
      </c>
      <c r="M35" s="85" t="str">
        <f t="shared" si="47"/>
        <v/>
      </c>
      <c r="N35" s="86" t="str">
        <f t="shared" si="48"/>
        <v/>
      </c>
      <c r="O35" s="75"/>
      <c r="P35" s="87" t="str">
        <f t="shared" si="49"/>
        <v/>
      </c>
      <c r="Q35" s="75"/>
      <c r="R35" s="88" t="str">
        <f t="shared" si="50"/>
        <v/>
      </c>
      <c r="S35" s="75"/>
      <c r="T35" s="99"/>
      <c r="U35" s="90"/>
      <c r="V35" s="100"/>
      <c r="W35" s="92"/>
      <c r="X35" s="93" t="str">
        <f t="shared" si="51"/>
        <v/>
      </c>
      <c r="Y35" s="92"/>
      <c r="Z35" s="101">
        <f t="shared" si="52"/>
        <v>0</v>
      </c>
      <c r="AA35" s="86" t="str">
        <f t="shared" si="53"/>
        <v/>
      </c>
      <c r="AB35" s="4"/>
      <c r="AC35" s="42" t="str">
        <f t="shared" si="54"/>
        <v/>
      </c>
      <c r="AD35" s="96" t="str">
        <f t="shared" si="55"/>
        <v/>
      </c>
      <c r="AE35" s="42" t="str">
        <f t="shared" si="56"/>
        <v/>
      </c>
      <c r="AF35" s="77"/>
      <c r="AG35" s="42" t="str" cm="1">
        <f t="array" ref="AG35">IF(C35&gt;0,SUMPRODUCT(--(OriginalLenderArray="E"),--(OrderOfSubArray&gt;0),TotalLoanArray)+SUMPRODUCT(--(OriginalLenderArray="T"),--(OrderOfSubArray=0),MortgageArray)+SUMPRODUCT(--(OriginalLenderArray="T"),--(OrderOfSubArray&gt;0),TotalLoanArray)-IF(B35="T",M35,0),"")</f>
        <v/>
      </c>
      <c r="AH35" s="42" t="str" cm="1">
        <f t="array" ref="AH35">IF(C35&gt;0,SUMPRODUCT(--(OriginalLenderArray="T"),MortgageArray)+SUMPRODUCT(--(OriginalLenderArray="T"),--(OrderOfSubArray&gt;0),--(OrderOfSubArray&lt;V35),CapRaiseArray)+SUMPRODUCT(--(OriginalLenderArray="E"),--(OrderOfSubArray&gt;0),--(OrderOfSubArray&lt;V35),TotalLoanArray)-IF(B35="T",M35,0),"")</f>
        <v/>
      </c>
      <c r="AI35" s="42" t="str">
        <f t="shared" si="57"/>
        <v/>
      </c>
      <c r="AJ35" s="42" t="str">
        <f t="shared" si="58"/>
        <v/>
      </c>
      <c r="AK35" s="97" t="str" cm="1">
        <f t="array" ref="AK35">IF(C35&gt;0,COUNTIF(MortgageArray,"&gt;0")+SUMPRODUCT(--(OrderOfSubArray&gt;0),--(MortgageArray=0)),"")</f>
        <v/>
      </c>
      <c r="AL35" s="97" t="str" cm="1">
        <f t="array" ref="AL35">IF(C35&gt;0,COUNTIF(MortgageArray,"&gt;0")+SUMPRODUCT(--(OrderOfSubArray&gt;0),--(OrderOfSubArray&lt;V35),--(MortgageArray=0))+IF(M35=0,1,0),"")</f>
        <v/>
      </c>
      <c r="AM35" s="77"/>
      <c r="AN35" s="97" t="str">
        <f t="shared" si="59"/>
        <v/>
      </c>
      <c r="AO35" s="42" t="str">
        <f t="shared" si="60"/>
        <v/>
      </c>
      <c r="AP35" s="42" t="str">
        <f t="shared" si="61"/>
        <v/>
      </c>
      <c r="AR35" s="42" t="str">
        <f t="shared" si="62"/>
        <v/>
      </c>
      <c r="AS35" s="42" t="str">
        <f t="shared" si="63"/>
        <v/>
      </c>
      <c r="AT35" s="42" t="str">
        <f t="shared" si="64"/>
        <v/>
      </c>
      <c r="AU35" s="42" t="str">
        <f t="shared" si="65"/>
        <v/>
      </c>
      <c r="AV35" s="42" t="str">
        <f t="shared" si="66"/>
        <v/>
      </c>
      <c r="AX35" s="42" t="str">
        <f t="shared" si="67"/>
        <v/>
      </c>
      <c r="AY35" s="42" t="str">
        <f t="shared" si="68"/>
        <v/>
      </c>
      <c r="AZ35" s="4"/>
      <c r="BA35" s="42" t="str">
        <f t="shared" si="69"/>
        <v/>
      </c>
      <c r="BB35" s="42" t="str">
        <f t="shared" si="70"/>
        <v/>
      </c>
      <c r="BC35" s="4"/>
      <c r="BD35" s="42" t="str">
        <f t="shared" si="71"/>
        <v/>
      </c>
      <c r="BE35" s="42" t="str">
        <f t="shared" si="72"/>
        <v/>
      </c>
      <c r="BF35" s="42" t="str">
        <f t="shared" si="73"/>
        <v/>
      </c>
      <c r="BG35" s="42" t="str">
        <f t="shared" si="74"/>
        <v/>
      </c>
      <c r="BH35" s="42" t="str">
        <f t="shared" si="75"/>
        <v/>
      </c>
      <c r="BI35" s="42" t="str">
        <f t="shared" si="76"/>
        <v/>
      </c>
      <c r="BJ35" s="42" t="str">
        <f t="shared" si="77"/>
        <v/>
      </c>
      <c r="BK35" s="42" t="str">
        <f t="shared" si="78"/>
        <v/>
      </c>
      <c r="BL35" s="97" t="str">
        <f>IF(C35&gt;0,IF(OR(Z35&gt;BI35,IF(B35="T",BJ35&lt;2500,BJ35&lt;0),BI35&lt;_xlfn.XLOOKUP(G35,Lookups!$A$2:$A$5,Lookups!$D$2:$D$5,,0,1)),"No","Yes"),"")</f>
        <v/>
      </c>
      <c r="BN35" s="42" t="str">
        <f t="shared" si="79"/>
        <v/>
      </c>
      <c r="BO35" s="42" t="str">
        <f t="shared" si="80"/>
        <v/>
      </c>
      <c r="BP35" s="42" t="str">
        <f t="shared" si="81"/>
        <v/>
      </c>
      <c r="BQ35" s="98" t="str">
        <f t="shared" si="82"/>
        <v/>
      </c>
      <c r="BS35" s="42" t="str">
        <f>IFERROR(IF(OR(L35&lt;_xlfn.XLOOKUP(G35,Lookups!$A$2:$A$5,Lookups!$C$2:$C$5,,0,1),FLOOR(BI35,100)&lt;_xlfn.XLOOKUP(G35,Lookups!$A$2:$A$5,Lookups!$D$2:$D$5,,0,1),AND(B35="T",FLOOR(BK35,100)&lt;2500)),0,FLOOR(BK35,100)),"")</f>
        <v/>
      </c>
    </row>
    <row r="36" spans="1:71" ht="14.25" customHeight="1" x14ac:dyDescent="0.3">
      <c r="A36" s="33" t="s">
        <v>139</v>
      </c>
      <c r="B36" s="33" t="str">
        <f t="shared" si="41"/>
        <v>T</v>
      </c>
      <c r="C36" s="33">
        <f t="shared" si="42"/>
        <v>0</v>
      </c>
      <c r="D36" s="33">
        <f t="shared" si="43"/>
        <v>0</v>
      </c>
      <c r="F36" s="80" t="str">
        <f t="shared" si="44"/>
        <v/>
      </c>
      <c r="G36" s="81" t="str">
        <f>IFERROR(_xlfn.XLOOKUP(A36,'Portfolio Schedule'!AC:AC,'Portfolio Schedule'!Y:Y),"")</f>
        <v/>
      </c>
      <c r="I36" s="82"/>
      <c r="K36" s="83" t="str">
        <f t="shared" si="45"/>
        <v/>
      </c>
      <c r="L36" s="84" t="str">
        <f t="shared" si="46"/>
        <v/>
      </c>
      <c r="M36" s="85" t="str">
        <f t="shared" si="47"/>
        <v/>
      </c>
      <c r="N36" s="86" t="str">
        <f t="shared" si="48"/>
        <v/>
      </c>
      <c r="O36" s="75"/>
      <c r="P36" s="87" t="str">
        <f t="shared" si="49"/>
        <v/>
      </c>
      <c r="Q36" s="75"/>
      <c r="R36" s="88" t="str">
        <f t="shared" si="50"/>
        <v/>
      </c>
      <c r="S36" s="75"/>
      <c r="T36" s="99"/>
      <c r="U36" s="90"/>
      <c r="V36" s="100"/>
      <c r="W36" s="92"/>
      <c r="X36" s="93" t="str">
        <f t="shared" si="51"/>
        <v/>
      </c>
      <c r="Y36" s="92"/>
      <c r="Z36" s="101">
        <f t="shared" si="52"/>
        <v>0</v>
      </c>
      <c r="AA36" s="86" t="str">
        <f t="shared" si="53"/>
        <v/>
      </c>
      <c r="AB36" s="4"/>
      <c r="AC36" s="42" t="str">
        <f t="shared" si="54"/>
        <v/>
      </c>
      <c r="AD36" s="96" t="str">
        <f t="shared" si="55"/>
        <v/>
      </c>
      <c r="AE36" s="42" t="str">
        <f t="shared" si="56"/>
        <v/>
      </c>
      <c r="AF36" s="77"/>
      <c r="AG36" s="42" t="str" cm="1">
        <f t="array" ref="AG36">IF(C36&gt;0,SUMPRODUCT(--(OriginalLenderArray="E"),--(OrderOfSubArray&gt;0),TotalLoanArray)+SUMPRODUCT(--(OriginalLenderArray="T"),--(OrderOfSubArray=0),MortgageArray)+SUMPRODUCT(--(OriginalLenderArray="T"),--(OrderOfSubArray&gt;0),TotalLoanArray)-IF(B36="T",M36,0),"")</f>
        <v/>
      </c>
      <c r="AH36" s="42" t="str" cm="1">
        <f t="array" ref="AH36">IF(C36&gt;0,SUMPRODUCT(--(OriginalLenderArray="T"),MortgageArray)+SUMPRODUCT(--(OriginalLenderArray="T"),--(OrderOfSubArray&gt;0),--(OrderOfSubArray&lt;V36),CapRaiseArray)+SUMPRODUCT(--(OriginalLenderArray="E"),--(OrderOfSubArray&gt;0),--(OrderOfSubArray&lt;V36),TotalLoanArray)-IF(B36="T",M36,0),"")</f>
        <v/>
      </c>
      <c r="AI36" s="42" t="str">
        <f t="shared" si="57"/>
        <v/>
      </c>
      <c r="AJ36" s="42" t="str">
        <f t="shared" si="58"/>
        <v/>
      </c>
      <c r="AK36" s="97" t="str" cm="1">
        <f t="array" ref="AK36">IF(C36&gt;0,COUNTIF(MortgageArray,"&gt;0")+SUMPRODUCT(--(OrderOfSubArray&gt;0),--(MortgageArray=0)),"")</f>
        <v/>
      </c>
      <c r="AL36" s="97" t="str" cm="1">
        <f t="array" ref="AL36">IF(C36&gt;0,COUNTIF(MortgageArray,"&gt;0")+SUMPRODUCT(--(OrderOfSubArray&gt;0),--(OrderOfSubArray&lt;V36),--(MortgageArray=0))+IF(M36=0,1,0),"")</f>
        <v/>
      </c>
      <c r="AM36" s="77"/>
      <c r="AN36" s="97" t="str">
        <f t="shared" si="59"/>
        <v/>
      </c>
      <c r="AO36" s="42" t="str">
        <f t="shared" si="60"/>
        <v/>
      </c>
      <c r="AP36" s="42" t="str">
        <f t="shared" si="61"/>
        <v/>
      </c>
      <c r="AR36" s="42" t="str">
        <f t="shared" si="62"/>
        <v/>
      </c>
      <c r="AS36" s="42" t="str">
        <f t="shared" si="63"/>
        <v/>
      </c>
      <c r="AT36" s="42" t="str">
        <f t="shared" si="64"/>
        <v/>
      </c>
      <c r="AU36" s="42" t="str">
        <f t="shared" si="65"/>
        <v/>
      </c>
      <c r="AV36" s="42" t="str">
        <f t="shared" si="66"/>
        <v/>
      </c>
      <c r="AX36" s="42" t="str">
        <f t="shared" si="67"/>
        <v/>
      </c>
      <c r="AY36" s="42" t="str">
        <f t="shared" si="68"/>
        <v/>
      </c>
      <c r="AZ36" s="4"/>
      <c r="BA36" s="42" t="str">
        <f t="shared" si="69"/>
        <v/>
      </c>
      <c r="BB36" s="42" t="str">
        <f t="shared" si="70"/>
        <v/>
      </c>
      <c r="BC36" s="4"/>
      <c r="BD36" s="42" t="str">
        <f t="shared" si="71"/>
        <v/>
      </c>
      <c r="BE36" s="42" t="str">
        <f t="shared" si="72"/>
        <v/>
      </c>
      <c r="BF36" s="42" t="str">
        <f t="shared" si="73"/>
        <v/>
      </c>
      <c r="BG36" s="42" t="str">
        <f t="shared" si="74"/>
        <v/>
      </c>
      <c r="BH36" s="42" t="str">
        <f t="shared" si="75"/>
        <v/>
      </c>
      <c r="BI36" s="42" t="str">
        <f t="shared" si="76"/>
        <v/>
      </c>
      <c r="BJ36" s="42" t="str">
        <f t="shared" si="77"/>
        <v/>
      </c>
      <c r="BK36" s="42" t="str">
        <f t="shared" si="78"/>
        <v/>
      </c>
      <c r="BL36" s="97" t="str">
        <f>IF(C36&gt;0,IF(OR(Z36&gt;BI36,IF(B36="T",BJ36&lt;2500,BJ36&lt;0),BI36&lt;_xlfn.XLOOKUP(G36,Lookups!$A$2:$A$5,Lookups!$D$2:$D$5,,0,1)),"No","Yes"),"")</f>
        <v/>
      </c>
      <c r="BN36" s="42" t="str">
        <f t="shared" si="79"/>
        <v/>
      </c>
      <c r="BO36" s="42" t="str">
        <f t="shared" si="80"/>
        <v/>
      </c>
      <c r="BP36" s="42" t="str">
        <f t="shared" si="81"/>
        <v/>
      </c>
      <c r="BQ36" s="98" t="str">
        <f t="shared" si="82"/>
        <v/>
      </c>
      <c r="BS36" s="42" t="str">
        <f>IFERROR(IF(OR(L36&lt;_xlfn.XLOOKUP(G36,Lookups!$A$2:$A$5,Lookups!$C$2:$C$5,,0,1),FLOOR(BI36,100)&lt;_xlfn.XLOOKUP(G36,Lookups!$A$2:$A$5,Lookups!$D$2:$D$5,,0,1),AND(B36="T",FLOOR(BK36,100)&lt;2500)),0,FLOOR(BK36,100)),"")</f>
        <v/>
      </c>
    </row>
    <row r="37" spans="1:71" ht="14.25" customHeight="1" x14ac:dyDescent="0.3">
      <c r="A37" s="33" t="s">
        <v>140</v>
      </c>
      <c r="B37" s="33" t="str">
        <f t="shared" si="41"/>
        <v>T</v>
      </c>
      <c r="C37" s="33">
        <f t="shared" si="42"/>
        <v>0</v>
      </c>
      <c r="D37" s="33">
        <f t="shared" si="43"/>
        <v>0</v>
      </c>
      <c r="F37" s="80" t="str">
        <f t="shared" si="44"/>
        <v/>
      </c>
      <c r="G37" s="81" t="str">
        <f>IFERROR(_xlfn.XLOOKUP(A37,'Portfolio Schedule'!AC:AC,'Portfolio Schedule'!Y:Y),"")</f>
        <v/>
      </c>
      <c r="I37" s="82"/>
      <c r="K37" s="83" t="str">
        <f t="shared" si="45"/>
        <v/>
      </c>
      <c r="L37" s="84" t="str">
        <f t="shared" si="46"/>
        <v/>
      </c>
      <c r="M37" s="85" t="str">
        <f t="shared" si="47"/>
        <v/>
      </c>
      <c r="N37" s="86" t="str">
        <f t="shared" si="48"/>
        <v/>
      </c>
      <c r="O37" s="75"/>
      <c r="P37" s="87" t="str">
        <f t="shared" si="49"/>
        <v/>
      </c>
      <c r="Q37" s="75"/>
      <c r="R37" s="88" t="str">
        <f t="shared" si="50"/>
        <v/>
      </c>
      <c r="S37" s="75"/>
      <c r="T37" s="99"/>
      <c r="U37" s="90"/>
      <c r="V37" s="100"/>
      <c r="W37" s="92"/>
      <c r="X37" s="93" t="str">
        <f t="shared" si="51"/>
        <v/>
      </c>
      <c r="Y37" s="92"/>
      <c r="Z37" s="101">
        <f t="shared" si="52"/>
        <v>0</v>
      </c>
      <c r="AA37" s="86" t="str">
        <f t="shared" si="53"/>
        <v/>
      </c>
      <c r="AB37" s="4"/>
      <c r="AC37" s="42" t="str">
        <f t="shared" si="54"/>
        <v/>
      </c>
      <c r="AD37" s="96" t="str">
        <f t="shared" si="55"/>
        <v/>
      </c>
      <c r="AE37" s="42" t="str">
        <f t="shared" si="56"/>
        <v/>
      </c>
      <c r="AF37" s="77"/>
      <c r="AG37" s="42" t="str" cm="1">
        <f t="array" ref="AG37">IF(C37&gt;0,SUMPRODUCT(--(OriginalLenderArray="E"),--(OrderOfSubArray&gt;0),TotalLoanArray)+SUMPRODUCT(--(OriginalLenderArray="T"),--(OrderOfSubArray=0),MortgageArray)+SUMPRODUCT(--(OriginalLenderArray="T"),--(OrderOfSubArray&gt;0),TotalLoanArray)-IF(B37="T",M37,0),"")</f>
        <v/>
      </c>
      <c r="AH37" s="42" t="str" cm="1">
        <f t="array" ref="AH37">IF(C37&gt;0,SUMPRODUCT(--(OriginalLenderArray="T"),MortgageArray)+SUMPRODUCT(--(OriginalLenderArray="T"),--(OrderOfSubArray&gt;0),--(OrderOfSubArray&lt;V37),CapRaiseArray)+SUMPRODUCT(--(OriginalLenderArray="E"),--(OrderOfSubArray&gt;0),--(OrderOfSubArray&lt;V37),TotalLoanArray)-IF(B37="T",M37,0),"")</f>
        <v/>
      </c>
      <c r="AI37" s="42" t="str">
        <f t="shared" si="57"/>
        <v/>
      </c>
      <c r="AJ37" s="42" t="str">
        <f t="shared" si="58"/>
        <v/>
      </c>
      <c r="AK37" s="97" t="str" cm="1">
        <f t="array" ref="AK37">IF(C37&gt;0,COUNTIF(MortgageArray,"&gt;0")+SUMPRODUCT(--(OrderOfSubArray&gt;0),--(MortgageArray=0)),"")</f>
        <v/>
      </c>
      <c r="AL37" s="97" t="str" cm="1">
        <f t="array" ref="AL37">IF(C37&gt;0,COUNTIF(MortgageArray,"&gt;0")+SUMPRODUCT(--(OrderOfSubArray&gt;0),--(OrderOfSubArray&lt;V37),--(MortgageArray=0))+IF(M37=0,1,0),"")</f>
        <v/>
      </c>
      <c r="AM37" s="77"/>
      <c r="AN37" s="97" t="str">
        <f t="shared" si="59"/>
        <v/>
      </c>
      <c r="AO37" s="42" t="str">
        <f t="shared" si="60"/>
        <v/>
      </c>
      <c r="AP37" s="42" t="str">
        <f t="shared" si="61"/>
        <v/>
      </c>
      <c r="AR37" s="42" t="str">
        <f t="shared" si="62"/>
        <v/>
      </c>
      <c r="AS37" s="42" t="str">
        <f t="shared" si="63"/>
        <v/>
      </c>
      <c r="AT37" s="42" t="str">
        <f t="shared" si="64"/>
        <v/>
      </c>
      <c r="AU37" s="42" t="str">
        <f t="shared" si="65"/>
        <v/>
      </c>
      <c r="AV37" s="42" t="str">
        <f t="shared" si="66"/>
        <v/>
      </c>
      <c r="AX37" s="42" t="str">
        <f t="shared" si="67"/>
        <v/>
      </c>
      <c r="AY37" s="42" t="str">
        <f t="shared" si="68"/>
        <v/>
      </c>
      <c r="AZ37" s="4"/>
      <c r="BA37" s="42" t="str">
        <f t="shared" si="69"/>
        <v/>
      </c>
      <c r="BB37" s="42" t="str">
        <f t="shared" si="70"/>
        <v/>
      </c>
      <c r="BC37" s="4"/>
      <c r="BD37" s="42" t="str">
        <f t="shared" si="71"/>
        <v/>
      </c>
      <c r="BE37" s="42" t="str">
        <f t="shared" si="72"/>
        <v/>
      </c>
      <c r="BF37" s="42" t="str">
        <f t="shared" si="73"/>
        <v/>
      </c>
      <c r="BG37" s="42" t="str">
        <f t="shared" si="74"/>
        <v/>
      </c>
      <c r="BH37" s="42" t="str">
        <f t="shared" si="75"/>
        <v/>
      </c>
      <c r="BI37" s="42" t="str">
        <f t="shared" si="76"/>
        <v/>
      </c>
      <c r="BJ37" s="42" t="str">
        <f t="shared" si="77"/>
        <v/>
      </c>
      <c r="BK37" s="42" t="str">
        <f t="shared" si="78"/>
        <v/>
      </c>
      <c r="BL37" s="97" t="str">
        <f>IF(C37&gt;0,IF(OR(Z37&gt;BI37,IF(B37="T",BJ37&lt;2500,BJ37&lt;0),BI37&lt;_xlfn.XLOOKUP(G37,Lookups!$A$2:$A$5,Lookups!$D$2:$D$5,,0,1)),"No","Yes"),"")</f>
        <v/>
      </c>
      <c r="BN37" s="42" t="str">
        <f t="shared" si="79"/>
        <v/>
      </c>
      <c r="BO37" s="42" t="str">
        <f t="shared" si="80"/>
        <v/>
      </c>
      <c r="BP37" s="42" t="str">
        <f t="shared" si="81"/>
        <v/>
      </c>
      <c r="BQ37" s="98" t="str">
        <f t="shared" si="82"/>
        <v/>
      </c>
      <c r="BS37" s="42" t="str">
        <f>IFERROR(IF(OR(L37&lt;_xlfn.XLOOKUP(G37,Lookups!$A$2:$A$5,Lookups!$C$2:$C$5,,0,1),FLOOR(BI37,100)&lt;_xlfn.XLOOKUP(G37,Lookups!$A$2:$A$5,Lookups!$D$2:$D$5,,0,1),AND(B37="T",FLOOR(BK37,100)&lt;2500)),0,FLOOR(BK37,100)),"")</f>
        <v/>
      </c>
    </row>
    <row r="38" spans="1:71" ht="14.25" customHeight="1" x14ac:dyDescent="0.3">
      <c r="A38" s="33" t="s">
        <v>141</v>
      </c>
      <c r="B38" s="33" t="str">
        <f t="shared" si="41"/>
        <v>T</v>
      </c>
      <c r="C38" s="33">
        <f t="shared" si="42"/>
        <v>0</v>
      </c>
      <c r="D38" s="33">
        <f t="shared" si="43"/>
        <v>0</v>
      </c>
      <c r="F38" s="80" t="str">
        <f t="shared" si="44"/>
        <v/>
      </c>
      <c r="G38" s="81" t="str">
        <f>IFERROR(_xlfn.XLOOKUP(A38,'Portfolio Schedule'!AC:AC,'Portfolio Schedule'!Y:Y),"")</f>
        <v/>
      </c>
      <c r="I38" s="82"/>
      <c r="K38" s="83" t="str">
        <f t="shared" si="45"/>
        <v/>
      </c>
      <c r="L38" s="84" t="str">
        <f t="shared" si="46"/>
        <v/>
      </c>
      <c r="M38" s="85" t="str">
        <f t="shared" si="47"/>
        <v/>
      </c>
      <c r="N38" s="86" t="str">
        <f t="shared" si="48"/>
        <v/>
      </c>
      <c r="O38" s="75"/>
      <c r="P38" s="87" t="str">
        <f t="shared" si="49"/>
        <v/>
      </c>
      <c r="Q38" s="75"/>
      <c r="R38" s="88" t="str">
        <f t="shared" si="50"/>
        <v/>
      </c>
      <c r="S38" s="75"/>
      <c r="T38" s="99"/>
      <c r="U38" s="90"/>
      <c r="V38" s="100"/>
      <c r="W38" s="92"/>
      <c r="X38" s="93" t="str">
        <f t="shared" si="51"/>
        <v/>
      </c>
      <c r="Y38" s="92"/>
      <c r="Z38" s="101">
        <f t="shared" si="52"/>
        <v>0</v>
      </c>
      <c r="AA38" s="86" t="str">
        <f t="shared" si="53"/>
        <v/>
      </c>
      <c r="AB38" s="4"/>
      <c r="AC38" s="42" t="str">
        <f t="shared" si="54"/>
        <v/>
      </c>
      <c r="AD38" s="96" t="str">
        <f t="shared" si="55"/>
        <v/>
      </c>
      <c r="AE38" s="42" t="str">
        <f t="shared" si="56"/>
        <v/>
      </c>
      <c r="AF38" s="77"/>
      <c r="AG38" s="42" t="str" cm="1">
        <f t="array" ref="AG38">IF(C38&gt;0,SUMPRODUCT(--(OriginalLenderArray="E"),--(OrderOfSubArray&gt;0),TotalLoanArray)+SUMPRODUCT(--(OriginalLenderArray="T"),--(OrderOfSubArray=0),MortgageArray)+SUMPRODUCT(--(OriginalLenderArray="T"),--(OrderOfSubArray&gt;0),TotalLoanArray)-IF(B38="T",M38,0),"")</f>
        <v/>
      </c>
      <c r="AH38" s="42" t="str" cm="1">
        <f t="array" ref="AH38">IF(C38&gt;0,SUMPRODUCT(--(OriginalLenderArray="T"),MortgageArray)+SUMPRODUCT(--(OriginalLenderArray="T"),--(OrderOfSubArray&gt;0),--(OrderOfSubArray&lt;V38),CapRaiseArray)+SUMPRODUCT(--(OriginalLenderArray="E"),--(OrderOfSubArray&gt;0),--(OrderOfSubArray&lt;V38),TotalLoanArray)-IF(B38="T",M38,0),"")</f>
        <v/>
      </c>
      <c r="AI38" s="42" t="str">
        <f t="shared" si="57"/>
        <v/>
      </c>
      <c r="AJ38" s="42" t="str">
        <f t="shared" si="58"/>
        <v/>
      </c>
      <c r="AK38" s="97" t="str" cm="1">
        <f t="array" ref="AK38">IF(C38&gt;0,COUNTIF(MortgageArray,"&gt;0")+SUMPRODUCT(--(OrderOfSubArray&gt;0),--(MortgageArray=0)),"")</f>
        <v/>
      </c>
      <c r="AL38" s="97" t="str" cm="1">
        <f t="array" ref="AL38">IF(C38&gt;0,COUNTIF(MortgageArray,"&gt;0")+SUMPRODUCT(--(OrderOfSubArray&gt;0),--(OrderOfSubArray&lt;V38),--(MortgageArray=0))+IF(M38=0,1,0),"")</f>
        <v/>
      </c>
      <c r="AM38" s="77"/>
      <c r="AN38" s="97" t="str">
        <f t="shared" si="59"/>
        <v/>
      </c>
      <c r="AO38" s="42" t="str">
        <f t="shared" si="60"/>
        <v/>
      </c>
      <c r="AP38" s="42" t="str">
        <f t="shared" si="61"/>
        <v/>
      </c>
      <c r="AR38" s="42" t="str">
        <f t="shared" si="62"/>
        <v/>
      </c>
      <c r="AS38" s="42" t="str">
        <f t="shared" si="63"/>
        <v/>
      </c>
      <c r="AT38" s="42" t="str">
        <f t="shared" si="64"/>
        <v/>
      </c>
      <c r="AU38" s="42" t="str">
        <f t="shared" si="65"/>
        <v/>
      </c>
      <c r="AV38" s="42" t="str">
        <f t="shared" si="66"/>
        <v/>
      </c>
      <c r="AX38" s="42" t="str">
        <f t="shared" si="67"/>
        <v/>
      </c>
      <c r="AY38" s="42" t="str">
        <f t="shared" si="68"/>
        <v/>
      </c>
      <c r="AZ38" s="4"/>
      <c r="BA38" s="42" t="str">
        <f t="shared" si="69"/>
        <v/>
      </c>
      <c r="BB38" s="42" t="str">
        <f t="shared" si="70"/>
        <v/>
      </c>
      <c r="BC38" s="4"/>
      <c r="BD38" s="42" t="str">
        <f t="shared" si="71"/>
        <v/>
      </c>
      <c r="BE38" s="42" t="str">
        <f t="shared" si="72"/>
        <v/>
      </c>
      <c r="BF38" s="42" t="str">
        <f t="shared" si="73"/>
        <v/>
      </c>
      <c r="BG38" s="42" t="str">
        <f t="shared" si="74"/>
        <v/>
      </c>
      <c r="BH38" s="42" t="str">
        <f t="shared" si="75"/>
        <v/>
      </c>
      <c r="BI38" s="42" t="str">
        <f t="shared" si="76"/>
        <v/>
      </c>
      <c r="BJ38" s="42" t="str">
        <f t="shared" si="77"/>
        <v/>
      </c>
      <c r="BK38" s="42" t="str">
        <f t="shared" si="78"/>
        <v/>
      </c>
      <c r="BL38" s="97" t="str">
        <f>IF(C38&gt;0,IF(OR(Z38&gt;BI38,IF(B38="T",BJ38&lt;2500,BJ38&lt;0),BI38&lt;_xlfn.XLOOKUP(G38,Lookups!$A$2:$A$5,Lookups!$D$2:$D$5,,0,1)),"No","Yes"),"")</f>
        <v/>
      </c>
      <c r="BN38" s="42" t="str">
        <f t="shared" si="79"/>
        <v/>
      </c>
      <c r="BO38" s="42" t="str">
        <f t="shared" si="80"/>
        <v/>
      </c>
      <c r="BP38" s="42" t="str">
        <f t="shared" si="81"/>
        <v/>
      </c>
      <c r="BQ38" s="98" t="str">
        <f t="shared" si="82"/>
        <v/>
      </c>
      <c r="BS38" s="42" t="str">
        <f>IFERROR(IF(OR(L38&lt;_xlfn.XLOOKUP(G38,Lookups!$A$2:$A$5,Lookups!$C$2:$C$5,,0,1),FLOOR(BI38,100)&lt;_xlfn.XLOOKUP(G38,Lookups!$A$2:$A$5,Lookups!$D$2:$D$5,,0,1),AND(B38="T",FLOOR(BK38,100)&lt;2500)),0,FLOOR(BK38,100)),"")</f>
        <v/>
      </c>
    </row>
    <row r="39" spans="1:71" ht="14.25" customHeight="1" x14ac:dyDescent="0.3">
      <c r="A39" s="33" t="s">
        <v>142</v>
      </c>
      <c r="B39" s="33" t="str">
        <f t="shared" si="41"/>
        <v>T</v>
      </c>
      <c r="C39" s="33">
        <f t="shared" si="42"/>
        <v>0</v>
      </c>
      <c r="D39" s="33">
        <f t="shared" si="43"/>
        <v>0</v>
      </c>
      <c r="F39" s="80" t="str">
        <f t="shared" si="44"/>
        <v/>
      </c>
      <c r="G39" s="81" t="str">
        <f>IFERROR(_xlfn.XLOOKUP(A39,'Portfolio Schedule'!AC:AC,'Portfolio Schedule'!Y:Y),"")</f>
        <v/>
      </c>
      <c r="I39" s="82"/>
      <c r="K39" s="83" t="str">
        <f t="shared" si="45"/>
        <v/>
      </c>
      <c r="L39" s="84" t="str">
        <f t="shared" si="46"/>
        <v/>
      </c>
      <c r="M39" s="85" t="str">
        <f t="shared" si="47"/>
        <v/>
      </c>
      <c r="N39" s="86" t="str">
        <f t="shared" si="48"/>
        <v/>
      </c>
      <c r="O39" s="75"/>
      <c r="P39" s="87" t="str">
        <f t="shared" si="49"/>
        <v/>
      </c>
      <c r="Q39" s="75"/>
      <c r="R39" s="88" t="str">
        <f t="shared" si="50"/>
        <v/>
      </c>
      <c r="S39" s="75"/>
      <c r="T39" s="99"/>
      <c r="U39" s="90"/>
      <c r="V39" s="100"/>
      <c r="W39" s="92"/>
      <c r="X39" s="93" t="str">
        <f t="shared" si="51"/>
        <v/>
      </c>
      <c r="Y39" s="92"/>
      <c r="Z39" s="101">
        <f t="shared" si="52"/>
        <v>0</v>
      </c>
      <c r="AA39" s="86" t="str">
        <f t="shared" si="53"/>
        <v/>
      </c>
      <c r="AB39" s="4"/>
      <c r="AC39" s="42" t="str">
        <f t="shared" si="54"/>
        <v/>
      </c>
      <c r="AD39" s="96" t="str">
        <f t="shared" si="55"/>
        <v/>
      </c>
      <c r="AE39" s="42" t="str">
        <f t="shared" si="56"/>
        <v/>
      </c>
      <c r="AF39" s="77"/>
      <c r="AG39" s="42" t="str" cm="1">
        <f t="array" ref="AG39">IF(C39&gt;0,SUMPRODUCT(--(OriginalLenderArray="E"),--(OrderOfSubArray&gt;0),TotalLoanArray)+SUMPRODUCT(--(OriginalLenderArray="T"),--(OrderOfSubArray=0),MortgageArray)+SUMPRODUCT(--(OriginalLenderArray="T"),--(OrderOfSubArray&gt;0),TotalLoanArray)-IF(B39="T",M39,0),"")</f>
        <v/>
      </c>
      <c r="AH39" s="42" t="str" cm="1">
        <f t="array" ref="AH39">IF(C39&gt;0,SUMPRODUCT(--(OriginalLenderArray="T"),MortgageArray)+SUMPRODUCT(--(OriginalLenderArray="T"),--(OrderOfSubArray&gt;0),--(OrderOfSubArray&lt;V39),CapRaiseArray)+SUMPRODUCT(--(OriginalLenderArray="E"),--(OrderOfSubArray&gt;0),--(OrderOfSubArray&lt;V39),TotalLoanArray)-IF(B39="T",M39,0),"")</f>
        <v/>
      </c>
      <c r="AI39" s="42" t="str">
        <f t="shared" si="57"/>
        <v/>
      </c>
      <c r="AJ39" s="42" t="str">
        <f t="shared" si="58"/>
        <v/>
      </c>
      <c r="AK39" s="97" t="str" cm="1">
        <f t="array" ref="AK39">IF(C39&gt;0,COUNTIF(MortgageArray,"&gt;0")+SUMPRODUCT(--(OrderOfSubArray&gt;0),--(MortgageArray=0)),"")</f>
        <v/>
      </c>
      <c r="AL39" s="97" t="str" cm="1">
        <f t="array" ref="AL39">IF(C39&gt;0,COUNTIF(MortgageArray,"&gt;0")+SUMPRODUCT(--(OrderOfSubArray&gt;0),--(OrderOfSubArray&lt;V39),--(MortgageArray=0))+IF(M39=0,1,0),"")</f>
        <v/>
      </c>
      <c r="AM39" s="77"/>
      <c r="AN39" s="97" t="str">
        <f t="shared" si="59"/>
        <v/>
      </c>
      <c r="AO39" s="42" t="str">
        <f t="shared" si="60"/>
        <v/>
      </c>
      <c r="AP39" s="42" t="str">
        <f t="shared" si="61"/>
        <v/>
      </c>
      <c r="AR39" s="42" t="str">
        <f t="shared" si="62"/>
        <v/>
      </c>
      <c r="AS39" s="42" t="str">
        <f t="shared" si="63"/>
        <v/>
      </c>
      <c r="AT39" s="42" t="str">
        <f t="shared" si="64"/>
        <v/>
      </c>
      <c r="AU39" s="42" t="str">
        <f t="shared" si="65"/>
        <v/>
      </c>
      <c r="AV39" s="42" t="str">
        <f t="shared" si="66"/>
        <v/>
      </c>
      <c r="AX39" s="42" t="str">
        <f t="shared" si="67"/>
        <v/>
      </c>
      <c r="AY39" s="42" t="str">
        <f t="shared" si="68"/>
        <v/>
      </c>
      <c r="AZ39" s="4"/>
      <c r="BA39" s="42" t="str">
        <f t="shared" si="69"/>
        <v/>
      </c>
      <c r="BB39" s="42" t="str">
        <f t="shared" si="70"/>
        <v/>
      </c>
      <c r="BC39" s="4"/>
      <c r="BD39" s="42" t="str">
        <f t="shared" si="71"/>
        <v/>
      </c>
      <c r="BE39" s="42" t="str">
        <f t="shared" si="72"/>
        <v/>
      </c>
      <c r="BF39" s="42" t="str">
        <f t="shared" si="73"/>
        <v/>
      </c>
      <c r="BG39" s="42" t="str">
        <f t="shared" si="74"/>
        <v/>
      </c>
      <c r="BH39" s="42" t="str">
        <f t="shared" si="75"/>
        <v/>
      </c>
      <c r="BI39" s="42" t="str">
        <f t="shared" si="76"/>
        <v/>
      </c>
      <c r="BJ39" s="42" t="str">
        <f t="shared" si="77"/>
        <v/>
      </c>
      <c r="BK39" s="42" t="str">
        <f t="shared" si="78"/>
        <v/>
      </c>
      <c r="BL39" s="97" t="str">
        <f>IF(C39&gt;0,IF(OR(Z39&gt;BI39,IF(B39="T",BJ39&lt;2500,BJ39&lt;0),BI39&lt;_xlfn.XLOOKUP(G39,Lookups!$A$2:$A$5,Lookups!$D$2:$D$5,,0,1)),"No","Yes"),"")</f>
        <v/>
      </c>
      <c r="BN39" s="42" t="str">
        <f t="shared" si="79"/>
        <v/>
      </c>
      <c r="BO39" s="42" t="str">
        <f t="shared" si="80"/>
        <v/>
      </c>
      <c r="BP39" s="42" t="str">
        <f t="shared" si="81"/>
        <v/>
      </c>
      <c r="BQ39" s="98" t="str">
        <f t="shared" si="82"/>
        <v/>
      </c>
      <c r="BS39" s="42" t="str">
        <f>IFERROR(IF(OR(L39&lt;_xlfn.XLOOKUP(G39,Lookups!$A$2:$A$5,Lookups!$C$2:$C$5,,0,1),FLOOR(BI39,100)&lt;_xlfn.XLOOKUP(G39,Lookups!$A$2:$A$5,Lookups!$D$2:$D$5,,0,1),AND(B39="T",FLOOR(BK39,100)&lt;2500)),0,FLOOR(BK39,100)),"")</f>
        <v/>
      </c>
    </row>
    <row r="40" spans="1:71" ht="14.25" customHeight="1" x14ac:dyDescent="0.3">
      <c r="A40" s="33" t="s">
        <v>143</v>
      </c>
      <c r="B40" s="33" t="str">
        <f t="shared" si="41"/>
        <v>T</v>
      </c>
      <c r="C40" s="33">
        <f t="shared" si="42"/>
        <v>0</v>
      </c>
      <c r="D40" s="33">
        <f t="shared" si="43"/>
        <v>0</v>
      </c>
      <c r="F40" s="80" t="str">
        <f t="shared" si="44"/>
        <v/>
      </c>
      <c r="G40" s="81" t="str">
        <f>IFERROR(_xlfn.XLOOKUP(A40,'Portfolio Schedule'!AC:AC,'Portfolio Schedule'!Y:Y),"")</f>
        <v/>
      </c>
      <c r="I40" s="82"/>
      <c r="K40" s="83" t="str">
        <f t="shared" si="45"/>
        <v/>
      </c>
      <c r="L40" s="84" t="str">
        <f t="shared" si="46"/>
        <v/>
      </c>
      <c r="M40" s="85" t="str">
        <f t="shared" si="47"/>
        <v/>
      </c>
      <c r="N40" s="86" t="str">
        <f t="shared" si="48"/>
        <v/>
      </c>
      <c r="O40" s="75"/>
      <c r="P40" s="87" t="str">
        <f t="shared" si="49"/>
        <v/>
      </c>
      <c r="Q40" s="75"/>
      <c r="R40" s="88" t="str">
        <f t="shared" si="50"/>
        <v/>
      </c>
      <c r="S40" s="75"/>
      <c r="T40" s="99"/>
      <c r="U40" s="90"/>
      <c r="V40" s="100"/>
      <c r="W40" s="92"/>
      <c r="X40" s="93" t="str">
        <f t="shared" si="51"/>
        <v/>
      </c>
      <c r="Y40" s="92"/>
      <c r="Z40" s="101">
        <f t="shared" si="52"/>
        <v>0</v>
      </c>
      <c r="AA40" s="86" t="str">
        <f t="shared" si="53"/>
        <v/>
      </c>
      <c r="AB40" s="4"/>
      <c r="AC40" s="42" t="str">
        <f t="shared" si="54"/>
        <v/>
      </c>
      <c r="AD40" s="96" t="str">
        <f t="shared" si="55"/>
        <v/>
      </c>
      <c r="AE40" s="42" t="str">
        <f t="shared" si="56"/>
        <v/>
      </c>
      <c r="AF40" s="77"/>
      <c r="AG40" s="42" t="str" cm="1">
        <f t="array" ref="AG40">IF(C40&gt;0,SUMPRODUCT(--(OriginalLenderArray="E"),--(OrderOfSubArray&gt;0),TotalLoanArray)+SUMPRODUCT(--(OriginalLenderArray="T"),--(OrderOfSubArray=0),MortgageArray)+SUMPRODUCT(--(OriginalLenderArray="T"),--(OrderOfSubArray&gt;0),TotalLoanArray)-IF(B40="T",M40,0),"")</f>
        <v/>
      </c>
      <c r="AH40" s="42" t="str" cm="1">
        <f t="array" ref="AH40">IF(C40&gt;0,SUMPRODUCT(--(OriginalLenderArray="T"),MortgageArray)+SUMPRODUCT(--(OriginalLenderArray="T"),--(OrderOfSubArray&gt;0),--(OrderOfSubArray&lt;V40),CapRaiseArray)+SUMPRODUCT(--(OriginalLenderArray="E"),--(OrderOfSubArray&gt;0),--(OrderOfSubArray&lt;V40),TotalLoanArray)-IF(B40="T",M40,0),"")</f>
        <v/>
      </c>
      <c r="AI40" s="42" t="str">
        <f t="shared" si="57"/>
        <v/>
      </c>
      <c r="AJ40" s="42" t="str">
        <f t="shared" si="58"/>
        <v/>
      </c>
      <c r="AK40" s="97" t="str" cm="1">
        <f t="array" ref="AK40">IF(C40&gt;0,COUNTIF(MortgageArray,"&gt;0")+SUMPRODUCT(--(OrderOfSubArray&gt;0),--(MortgageArray=0)),"")</f>
        <v/>
      </c>
      <c r="AL40" s="97" t="str" cm="1">
        <f t="array" ref="AL40">IF(C40&gt;0,COUNTIF(MortgageArray,"&gt;0")+SUMPRODUCT(--(OrderOfSubArray&gt;0),--(OrderOfSubArray&lt;V40),--(MortgageArray=0))+IF(M40=0,1,0),"")</f>
        <v/>
      </c>
      <c r="AM40" s="77"/>
      <c r="AN40" s="97" t="str">
        <f t="shared" si="59"/>
        <v/>
      </c>
      <c r="AO40" s="42" t="str">
        <f t="shared" si="60"/>
        <v/>
      </c>
      <c r="AP40" s="42" t="str">
        <f t="shared" si="61"/>
        <v/>
      </c>
      <c r="AR40" s="42" t="str">
        <f t="shared" si="62"/>
        <v/>
      </c>
      <c r="AS40" s="42" t="str">
        <f t="shared" si="63"/>
        <v/>
      </c>
      <c r="AT40" s="42" t="str">
        <f t="shared" si="64"/>
        <v/>
      </c>
      <c r="AU40" s="42" t="str">
        <f t="shared" si="65"/>
        <v/>
      </c>
      <c r="AV40" s="42" t="str">
        <f t="shared" si="66"/>
        <v/>
      </c>
      <c r="AX40" s="42" t="str">
        <f t="shared" si="67"/>
        <v/>
      </c>
      <c r="AY40" s="42" t="str">
        <f t="shared" si="68"/>
        <v/>
      </c>
      <c r="AZ40" s="4"/>
      <c r="BA40" s="42" t="str">
        <f t="shared" si="69"/>
        <v/>
      </c>
      <c r="BB40" s="42" t="str">
        <f t="shared" si="70"/>
        <v/>
      </c>
      <c r="BC40" s="4"/>
      <c r="BD40" s="42" t="str">
        <f t="shared" si="71"/>
        <v/>
      </c>
      <c r="BE40" s="42" t="str">
        <f t="shared" si="72"/>
        <v/>
      </c>
      <c r="BF40" s="42" t="str">
        <f t="shared" si="73"/>
        <v/>
      </c>
      <c r="BG40" s="42" t="str">
        <f t="shared" si="74"/>
        <v/>
      </c>
      <c r="BH40" s="42" t="str">
        <f t="shared" si="75"/>
        <v/>
      </c>
      <c r="BI40" s="42" t="str">
        <f t="shared" si="76"/>
        <v/>
      </c>
      <c r="BJ40" s="42" t="str">
        <f t="shared" si="77"/>
        <v/>
      </c>
      <c r="BK40" s="42" t="str">
        <f t="shared" si="78"/>
        <v/>
      </c>
      <c r="BL40" s="97" t="str">
        <f>IF(C40&gt;0,IF(OR(Z40&gt;BI40,IF(B40="T",BJ40&lt;2500,BJ40&lt;0),BI40&lt;_xlfn.XLOOKUP(G40,Lookups!$A$2:$A$5,Lookups!$D$2:$D$5,,0,1)),"No","Yes"),"")</f>
        <v/>
      </c>
      <c r="BN40" s="42" t="str">
        <f t="shared" si="79"/>
        <v/>
      </c>
      <c r="BO40" s="42" t="str">
        <f t="shared" si="80"/>
        <v/>
      </c>
      <c r="BP40" s="42" t="str">
        <f t="shared" si="81"/>
        <v/>
      </c>
      <c r="BQ40" s="98" t="str">
        <f t="shared" si="82"/>
        <v/>
      </c>
      <c r="BS40" s="42" t="str">
        <f>IFERROR(IF(OR(L40&lt;_xlfn.XLOOKUP(G40,Lookups!$A$2:$A$5,Lookups!$C$2:$C$5,,0,1),FLOOR(BI40,100)&lt;_xlfn.XLOOKUP(G40,Lookups!$A$2:$A$5,Lookups!$D$2:$D$5,,0,1),AND(B40="T",FLOOR(BK40,100)&lt;2500)),0,FLOOR(BK40,100)),"")</f>
        <v/>
      </c>
    </row>
    <row r="41" spans="1:71" ht="14.25" customHeight="1" x14ac:dyDescent="0.3">
      <c r="A41" s="33" t="s">
        <v>144</v>
      </c>
      <c r="B41" s="33" t="str">
        <f t="shared" si="41"/>
        <v>T</v>
      </c>
      <c r="C41" s="33">
        <f t="shared" si="42"/>
        <v>0</v>
      </c>
      <c r="D41" s="33">
        <f t="shared" si="43"/>
        <v>0</v>
      </c>
      <c r="F41" s="80" t="str">
        <f t="shared" si="44"/>
        <v/>
      </c>
      <c r="G41" s="81" t="str">
        <f>IFERROR(_xlfn.XLOOKUP(A41,'Portfolio Schedule'!AC:AC,'Portfolio Schedule'!Y:Y),"")</f>
        <v/>
      </c>
      <c r="I41" s="82"/>
      <c r="K41" s="83" t="str">
        <f t="shared" si="45"/>
        <v/>
      </c>
      <c r="L41" s="84" t="str">
        <f t="shared" si="46"/>
        <v/>
      </c>
      <c r="M41" s="85" t="str">
        <f t="shared" si="47"/>
        <v/>
      </c>
      <c r="N41" s="86" t="str">
        <f t="shared" si="48"/>
        <v/>
      </c>
      <c r="O41" s="75"/>
      <c r="P41" s="87" t="str">
        <f t="shared" si="49"/>
        <v/>
      </c>
      <c r="Q41" s="75"/>
      <c r="R41" s="88" t="str">
        <f t="shared" si="50"/>
        <v/>
      </c>
      <c r="S41" s="75"/>
      <c r="T41" s="99"/>
      <c r="U41" s="90"/>
      <c r="V41" s="100"/>
      <c r="W41" s="92"/>
      <c r="X41" s="93" t="str">
        <f t="shared" si="51"/>
        <v/>
      </c>
      <c r="Y41" s="92"/>
      <c r="Z41" s="101">
        <f t="shared" si="52"/>
        <v>0</v>
      </c>
      <c r="AA41" s="86" t="str">
        <f t="shared" si="53"/>
        <v/>
      </c>
      <c r="AB41" s="4"/>
      <c r="AC41" s="42" t="str">
        <f t="shared" si="54"/>
        <v/>
      </c>
      <c r="AD41" s="96" t="str">
        <f t="shared" si="55"/>
        <v/>
      </c>
      <c r="AE41" s="42" t="str">
        <f t="shared" si="56"/>
        <v/>
      </c>
      <c r="AF41" s="77"/>
      <c r="AG41" s="42" t="str" cm="1">
        <f t="array" ref="AG41">IF(C41&gt;0,SUMPRODUCT(--(OriginalLenderArray="E"),--(OrderOfSubArray&gt;0),TotalLoanArray)+SUMPRODUCT(--(OriginalLenderArray="T"),--(OrderOfSubArray=0),MortgageArray)+SUMPRODUCT(--(OriginalLenderArray="T"),--(OrderOfSubArray&gt;0),TotalLoanArray)-IF(B41="T",M41,0),"")</f>
        <v/>
      </c>
      <c r="AH41" s="42" t="str" cm="1">
        <f t="array" ref="AH41">IF(C41&gt;0,SUMPRODUCT(--(OriginalLenderArray="T"),MortgageArray)+SUMPRODUCT(--(OriginalLenderArray="T"),--(OrderOfSubArray&gt;0),--(OrderOfSubArray&lt;V41),CapRaiseArray)+SUMPRODUCT(--(OriginalLenderArray="E"),--(OrderOfSubArray&gt;0),--(OrderOfSubArray&lt;V41),TotalLoanArray)-IF(B41="T",M41,0),"")</f>
        <v/>
      </c>
      <c r="AI41" s="42" t="str">
        <f t="shared" si="57"/>
        <v/>
      </c>
      <c r="AJ41" s="42" t="str">
        <f t="shared" si="58"/>
        <v/>
      </c>
      <c r="AK41" s="97" t="str" cm="1">
        <f t="array" ref="AK41">IF(C41&gt;0,COUNTIF(MortgageArray,"&gt;0")+SUMPRODUCT(--(OrderOfSubArray&gt;0),--(MortgageArray=0)),"")</f>
        <v/>
      </c>
      <c r="AL41" s="97" t="str" cm="1">
        <f t="array" ref="AL41">IF(C41&gt;0,COUNTIF(MortgageArray,"&gt;0")+SUMPRODUCT(--(OrderOfSubArray&gt;0),--(OrderOfSubArray&lt;V41),--(MortgageArray=0))+IF(M41=0,1,0),"")</f>
        <v/>
      </c>
      <c r="AM41" s="77"/>
      <c r="AN41" s="97" t="str">
        <f t="shared" si="59"/>
        <v/>
      </c>
      <c r="AO41" s="42" t="str">
        <f t="shared" si="60"/>
        <v/>
      </c>
      <c r="AP41" s="42" t="str">
        <f t="shared" si="61"/>
        <v/>
      </c>
      <c r="AR41" s="42" t="str">
        <f t="shared" si="62"/>
        <v/>
      </c>
      <c r="AS41" s="42" t="str">
        <f t="shared" si="63"/>
        <v/>
      </c>
      <c r="AT41" s="42" t="str">
        <f t="shared" si="64"/>
        <v/>
      </c>
      <c r="AU41" s="42" t="str">
        <f t="shared" si="65"/>
        <v/>
      </c>
      <c r="AV41" s="42" t="str">
        <f t="shared" si="66"/>
        <v/>
      </c>
      <c r="AX41" s="42" t="str">
        <f t="shared" si="67"/>
        <v/>
      </c>
      <c r="AY41" s="42" t="str">
        <f t="shared" si="68"/>
        <v/>
      </c>
      <c r="AZ41" s="4"/>
      <c r="BA41" s="42" t="str">
        <f t="shared" si="69"/>
        <v/>
      </c>
      <c r="BB41" s="42" t="str">
        <f t="shared" si="70"/>
        <v/>
      </c>
      <c r="BC41" s="4"/>
      <c r="BD41" s="42" t="str">
        <f t="shared" si="71"/>
        <v/>
      </c>
      <c r="BE41" s="42" t="str">
        <f t="shared" si="72"/>
        <v/>
      </c>
      <c r="BF41" s="42" t="str">
        <f t="shared" si="73"/>
        <v/>
      </c>
      <c r="BG41" s="42" t="str">
        <f t="shared" si="74"/>
        <v/>
      </c>
      <c r="BH41" s="42" t="str">
        <f t="shared" si="75"/>
        <v/>
      </c>
      <c r="BI41" s="42" t="str">
        <f t="shared" si="76"/>
        <v/>
      </c>
      <c r="BJ41" s="42" t="str">
        <f t="shared" si="77"/>
        <v/>
      </c>
      <c r="BK41" s="42" t="str">
        <f t="shared" si="78"/>
        <v/>
      </c>
      <c r="BL41" s="97" t="str">
        <f>IF(C41&gt;0,IF(OR(Z41&gt;BI41,IF(B41="T",BJ41&lt;2500,BJ41&lt;0),BI41&lt;_xlfn.XLOOKUP(G41,Lookups!$A$2:$A$5,Lookups!$D$2:$D$5,,0,1)),"No","Yes"),"")</f>
        <v/>
      </c>
      <c r="BN41" s="42" t="str">
        <f t="shared" si="79"/>
        <v/>
      </c>
      <c r="BO41" s="42" t="str">
        <f t="shared" si="80"/>
        <v/>
      </c>
      <c r="BP41" s="42" t="str">
        <f t="shared" si="81"/>
        <v/>
      </c>
      <c r="BQ41" s="98" t="str">
        <f t="shared" si="82"/>
        <v/>
      </c>
      <c r="BS41" s="42" t="str">
        <f>IFERROR(IF(OR(L41&lt;_xlfn.XLOOKUP(G41,Lookups!$A$2:$A$5,Lookups!$C$2:$C$5,,0,1),FLOOR(BI41,100)&lt;_xlfn.XLOOKUP(G41,Lookups!$A$2:$A$5,Lookups!$D$2:$D$5,,0,1),AND(B41="T",FLOOR(BK41,100)&lt;2500)),0,FLOOR(BK41,100)),"")</f>
        <v/>
      </c>
    </row>
    <row r="42" spans="1:71" ht="14.25" customHeight="1" x14ac:dyDescent="0.3">
      <c r="A42" s="33" t="s">
        <v>145</v>
      </c>
      <c r="B42" s="33" t="str">
        <f t="shared" si="41"/>
        <v>T</v>
      </c>
      <c r="C42" s="33">
        <f t="shared" si="42"/>
        <v>0</v>
      </c>
      <c r="D42" s="33">
        <f t="shared" si="43"/>
        <v>0</v>
      </c>
      <c r="F42" s="80" t="str">
        <f t="shared" si="44"/>
        <v/>
      </c>
      <c r="G42" s="81" t="str">
        <f>IFERROR(_xlfn.XLOOKUP(A42,'Portfolio Schedule'!AC:AC,'Portfolio Schedule'!Y:Y),"")</f>
        <v/>
      </c>
      <c r="I42" s="82"/>
      <c r="K42" s="83" t="str">
        <f t="shared" si="45"/>
        <v/>
      </c>
      <c r="L42" s="84" t="str">
        <f t="shared" si="46"/>
        <v/>
      </c>
      <c r="M42" s="85" t="str">
        <f t="shared" si="47"/>
        <v/>
      </c>
      <c r="N42" s="86" t="str">
        <f t="shared" si="48"/>
        <v/>
      </c>
      <c r="O42" s="75"/>
      <c r="P42" s="87" t="str">
        <f t="shared" si="49"/>
        <v/>
      </c>
      <c r="Q42" s="75"/>
      <c r="R42" s="88" t="str">
        <f t="shared" si="50"/>
        <v/>
      </c>
      <c r="S42" s="75"/>
      <c r="T42" s="99"/>
      <c r="U42" s="90"/>
      <c r="V42" s="100"/>
      <c r="W42" s="92"/>
      <c r="X42" s="93" t="str">
        <f t="shared" si="51"/>
        <v/>
      </c>
      <c r="Y42" s="92"/>
      <c r="Z42" s="101">
        <f t="shared" si="52"/>
        <v>0</v>
      </c>
      <c r="AA42" s="86" t="str">
        <f t="shared" si="53"/>
        <v/>
      </c>
      <c r="AB42" s="4"/>
      <c r="AC42" s="42" t="str">
        <f t="shared" si="54"/>
        <v/>
      </c>
      <c r="AD42" s="96" t="str">
        <f t="shared" si="55"/>
        <v/>
      </c>
      <c r="AE42" s="42" t="str">
        <f t="shared" si="56"/>
        <v/>
      </c>
      <c r="AF42" s="77"/>
      <c r="AG42" s="42" t="str" cm="1">
        <f t="array" ref="AG42">IF(C42&gt;0,SUMPRODUCT(--(OriginalLenderArray="E"),--(OrderOfSubArray&gt;0),TotalLoanArray)+SUMPRODUCT(--(OriginalLenderArray="T"),--(OrderOfSubArray=0),MortgageArray)+SUMPRODUCT(--(OriginalLenderArray="T"),--(OrderOfSubArray&gt;0),TotalLoanArray)-IF(B42="T",M42,0),"")</f>
        <v/>
      </c>
      <c r="AH42" s="42" t="str" cm="1">
        <f t="array" ref="AH42">IF(C42&gt;0,SUMPRODUCT(--(OriginalLenderArray="T"),MortgageArray)+SUMPRODUCT(--(OriginalLenderArray="T"),--(OrderOfSubArray&gt;0),--(OrderOfSubArray&lt;V42),CapRaiseArray)+SUMPRODUCT(--(OriginalLenderArray="E"),--(OrderOfSubArray&gt;0),--(OrderOfSubArray&lt;V42),TotalLoanArray)-IF(B42="T",M42,0),"")</f>
        <v/>
      </c>
      <c r="AI42" s="42" t="str">
        <f t="shared" si="57"/>
        <v/>
      </c>
      <c r="AJ42" s="42" t="str">
        <f t="shared" si="58"/>
        <v/>
      </c>
      <c r="AK42" s="97" t="str" cm="1">
        <f t="array" ref="AK42">IF(C42&gt;0,COUNTIF(MortgageArray,"&gt;0")+SUMPRODUCT(--(OrderOfSubArray&gt;0),--(MortgageArray=0)),"")</f>
        <v/>
      </c>
      <c r="AL42" s="97" t="str" cm="1">
        <f t="array" ref="AL42">IF(C42&gt;0,COUNTIF(MortgageArray,"&gt;0")+SUMPRODUCT(--(OrderOfSubArray&gt;0),--(OrderOfSubArray&lt;V42),--(MortgageArray=0))+IF(M42=0,1,0),"")</f>
        <v/>
      </c>
      <c r="AM42" s="77"/>
      <c r="AN42" s="97" t="str">
        <f t="shared" si="59"/>
        <v/>
      </c>
      <c r="AO42" s="42" t="str">
        <f t="shared" si="60"/>
        <v/>
      </c>
      <c r="AP42" s="42" t="str">
        <f t="shared" si="61"/>
        <v/>
      </c>
      <c r="AR42" s="42" t="str">
        <f t="shared" si="62"/>
        <v/>
      </c>
      <c r="AS42" s="42" t="str">
        <f t="shared" si="63"/>
        <v/>
      </c>
      <c r="AT42" s="42" t="str">
        <f t="shared" si="64"/>
        <v/>
      </c>
      <c r="AU42" s="42" t="str">
        <f t="shared" si="65"/>
        <v/>
      </c>
      <c r="AV42" s="42" t="str">
        <f t="shared" si="66"/>
        <v/>
      </c>
      <c r="AX42" s="42" t="str">
        <f t="shared" si="67"/>
        <v/>
      </c>
      <c r="AY42" s="42" t="str">
        <f t="shared" si="68"/>
        <v/>
      </c>
      <c r="AZ42" s="4"/>
      <c r="BA42" s="42" t="str">
        <f t="shared" si="69"/>
        <v/>
      </c>
      <c r="BB42" s="42" t="str">
        <f t="shared" si="70"/>
        <v/>
      </c>
      <c r="BC42" s="4"/>
      <c r="BD42" s="42" t="str">
        <f t="shared" si="71"/>
        <v/>
      </c>
      <c r="BE42" s="42" t="str">
        <f t="shared" si="72"/>
        <v/>
      </c>
      <c r="BF42" s="42" t="str">
        <f t="shared" si="73"/>
        <v/>
      </c>
      <c r="BG42" s="42" t="str">
        <f t="shared" si="74"/>
        <v/>
      </c>
      <c r="BH42" s="42" t="str">
        <f t="shared" si="75"/>
        <v/>
      </c>
      <c r="BI42" s="42" t="str">
        <f t="shared" si="76"/>
        <v/>
      </c>
      <c r="BJ42" s="42" t="str">
        <f t="shared" si="77"/>
        <v/>
      </c>
      <c r="BK42" s="42" t="str">
        <f t="shared" si="78"/>
        <v/>
      </c>
      <c r="BL42" s="97" t="str">
        <f>IF(C42&gt;0,IF(OR(Z42&gt;BI42,IF(B42="T",BJ42&lt;2500,BJ42&lt;0),BI42&lt;_xlfn.XLOOKUP(G42,Lookups!$A$2:$A$5,Lookups!$D$2:$D$5,,0,1)),"No","Yes"),"")</f>
        <v/>
      </c>
      <c r="BN42" s="42" t="str">
        <f t="shared" si="79"/>
        <v/>
      </c>
      <c r="BO42" s="42" t="str">
        <f t="shared" si="80"/>
        <v/>
      </c>
      <c r="BP42" s="42" t="str">
        <f t="shared" si="81"/>
        <v/>
      </c>
      <c r="BQ42" s="98" t="str">
        <f t="shared" si="82"/>
        <v/>
      </c>
      <c r="BS42" s="42" t="str">
        <f>IFERROR(IF(OR(L42&lt;_xlfn.XLOOKUP(G42,Lookups!$A$2:$A$5,Lookups!$C$2:$C$5,,0,1),FLOOR(BI42,100)&lt;_xlfn.XLOOKUP(G42,Lookups!$A$2:$A$5,Lookups!$D$2:$D$5,,0,1),AND(B42="T",FLOOR(BK42,100)&lt;2500)),0,FLOOR(BK42,100)),"")</f>
        <v/>
      </c>
    </row>
    <row r="43" spans="1:71" ht="14.25" customHeight="1" x14ac:dyDescent="0.3">
      <c r="A43" s="33" t="s">
        <v>146</v>
      </c>
      <c r="B43" s="33" t="str">
        <f t="shared" si="41"/>
        <v>T</v>
      </c>
      <c r="C43" s="33">
        <f t="shared" si="42"/>
        <v>0</v>
      </c>
      <c r="D43" s="33">
        <f t="shared" si="43"/>
        <v>0</v>
      </c>
      <c r="F43" s="80" t="str">
        <f t="shared" si="44"/>
        <v/>
      </c>
      <c r="G43" s="81" t="str">
        <f>IFERROR(_xlfn.XLOOKUP(A43,'Portfolio Schedule'!AC:AC,'Portfolio Schedule'!Y:Y),"")</f>
        <v/>
      </c>
      <c r="I43" s="82"/>
      <c r="K43" s="83" t="str">
        <f t="shared" si="45"/>
        <v/>
      </c>
      <c r="L43" s="84" t="str">
        <f t="shared" si="46"/>
        <v/>
      </c>
      <c r="M43" s="85" t="str">
        <f t="shared" si="47"/>
        <v/>
      </c>
      <c r="N43" s="86" t="str">
        <f t="shared" si="48"/>
        <v/>
      </c>
      <c r="O43" s="75"/>
      <c r="P43" s="87" t="str">
        <f t="shared" si="49"/>
        <v/>
      </c>
      <c r="Q43" s="75"/>
      <c r="R43" s="88" t="str">
        <f t="shared" si="50"/>
        <v/>
      </c>
      <c r="S43" s="75"/>
      <c r="T43" s="99"/>
      <c r="U43" s="90"/>
      <c r="V43" s="100"/>
      <c r="W43" s="92"/>
      <c r="X43" s="93" t="str">
        <f t="shared" si="51"/>
        <v/>
      </c>
      <c r="Y43" s="92"/>
      <c r="Z43" s="101">
        <f t="shared" si="52"/>
        <v>0</v>
      </c>
      <c r="AA43" s="86" t="str">
        <f t="shared" si="53"/>
        <v/>
      </c>
      <c r="AB43" s="4"/>
      <c r="AC43" s="42" t="str">
        <f t="shared" si="54"/>
        <v/>
      </c>
      <c r="AD43" s="96" t="str">
        <f t="shared" si="55"/>
        <v/>
      </c>
      <c r="AE43" s="42" t="str">
        <f t="shared" si="56"/>
        <v/>
      </c>
      <c r="AF43" s="77"/>
      <c r="AG43" s="42" t="str" cm="1">
        <f t="array" ref="AG43">IF(C43&gt;0,SUMPRODUCT(--(OriginalLenderArray="E"),--(OrderOfSubArray&gt;0),TotalLoanArray)+SUMPRODUCT(--(OriginalLenderArray="T"),--(OrderOfSubArray=0),MortgageArray)+SUMPRODUCT(--(OriginalLenderArray="T"),--(OrderOfSubArray&gt;0),TotalLoanArray)-IF(B43="T",M43,0),"")</f>
        <v/>
      </c>
      <c r="AH43" s="42" t="str" cm="1">
        <f t="array" ref="AH43">IF(C43&gt;0,SUMPRODUCT(--(OriginalLenderArray="T"),MortgageArray)+SUMPRODUCT(--(OriginalLenderArray="T"),--(OrderOfSubArray&gt;0),--(OrderOfSubArray&lt;V43),CapRaiseArray)+SUMPRODUCT(--(OriginalLenderArray="E"),--(OrderOfSubArray&gt;0),--(OrderOfSubArray&lt;V43),TotalLoanArray)-IF(B43="T",M43,0),"")</f>
        <v/>
      </c>
      <c r="AI43" s="42" t="str">
        <f t="shared" si="57"/>
        <v/>
      </c>
      <c r="AJ43" s="42" t="str">
        <f t="shared" si="58"/>
        <v/>
      </c>
      <c r="AK43" s="97" t="str" cm="1">
        <f t="array" ref="AK43">IF(C43&gt;0,COUNTIF(MortgageArray,"&gt;0")+SUMPRODUCT(--(OrderOfSubArray&gt;0),--(MortgageArray=0)),"")</f>
        <v/>
      </c>
      <c r="AL43" s="97" t="str" cm="1">
        <f t="array" ref="AL43">IF(C43&gt;0,COUNTIF(MortgageArray,"&gt;0")+SUMPRODUCT(--(OrderOfSubArray&gt;0),--(OrderOfSubArray&lt;V43),--(MortgageArray=0))+IF(M43=0,1,0),"")</f>
        <v/>
      </c>
      <c r="AM43" s="77"/>
      <c r="AN43" s="97" t="str">
        <f t="shared" si="59"/>
        <v/>
      </c>
      <c r="AO43" s="42" t="str">
        <f t="shared" si="60"/>
        <v/>
      </c>
      <c r="AP43" s="42" t="str">
        <f t="shared" si="61"/>
        <v/>
      </c>
      <c r="AR43" s="42" t="str">
        <f t="shared" si="62"/>
        <v/>
      </c>
      <c r="AS43" s="42" t="str">
        <f t="shared" si="63"/>
        <v/>
      </c>
      <c r="AT43" s="42" t="str">
        <f t="shared" si="64"/>
        <v/>
      </c>
      <c r="AU43" s="42" t="str">
        <f t="shared" si="65"/>
        <v/>
      </c>
      <c r="AV43" s="42" t="str">
        <f t="shared" si="66"/>
        <v/>
      </c>
      <c r="AX43" s="42" t="str">
        <f t="shared" si="67"/>
        <v/>
      </c>
      <c r="AY43" s="42" t="str">
        <f t="shared" si="68"/>
        <v/>
      </c>
      <c r="AZ43" s="4"/>
      <c r="BA43" s="42" t="str">
        <f t="shared" si="69"/>
        <v/>
      </c>
      <c r="BB43" s="42" t="str">
        <f t="shared" si="70"/>
        <v/>
      </c>
      <c r="BC43" s="4"/>
      <c r="BD43" s="42" t="str">
        <f t="shared" si="71"/>
        <v/>
      </c>
      <c r="BE43" s="42" t="str">
        <f t="shared" si="72"/>
        <v/>
      </c>
      <c r="BF43" s="42" t="str">
        <f t="shared" si="73"/>
        <v/>
      </c>
      <c r="BG43" s="42" t="str">
        <f t="shared" si="74"/>
        <v/>
      </c>
      <c r="BH43" s="42" t="str">
        <f t="shared" si="75"/>
        <v/>
      </c>
      <c r="BI43" s="42" t="str">
        <f t="shared" si="76"/>
        <v/>
      </c>
      <c r="BJ43" s="42" t="str">
        <f t="shared" si="77"/>
        <v/>
      </c>
      <c r="BK43" s="42" t="str">
        <f t="shared" si="78"/>
        <v/>
      </c>
      <c r="BL43" s="97" t="str">
        <f>IF(C43&gt;0,IF(OR(Z43&gt;BI43,IF(B43="T",BJ43&lt;2500,BJ43&lt;0),BI43&lt;_xlfn.XLOOKUP(G43,Lookups!$A$2:$A$5,Lookups!$D$2:$D$5,,0,1)),"No","Yes"),"")</f>
        <v/>
      </c>
      <c r="BN43" s="42" t="str">
        <f t="shared" si="79"/>
        <v/>
      </c>
      <c r="BO43" s="42" t="str">
        <f t="shared" si="80"/>
        <v/>
      </c>
      <c r="BP43" s="42" t="str">
        <f t="shared" si="81"/>
        <v/>
      </c>
      <c r="BQ43" s="98" t="str">
        <f t="shared" si="82"/>
        <v/>
      </c>
      <c r="BS43" s="42" t="str">
        <f>IFERROR(IF(OR(L43&lt;_xlfn.XLOOKUP(G43,Lookups!$A$2:$A$5,Lookups!$C$2:$C$5,,0,1),FLOOR(BI43,100)&lt;_xlfn.XLOOKUP(G43,Lookups!$A$2:$A$5,Lookups!$D$2:$D$5,,0,1),AND(B43="T",FLOOR(BK43,100)&lt;2500)),0,FLOOR(BK43,100)),"")</f>
        <v/>
      </c>
    </row>
    <row r="44" spans="1:71" ht="14.25" customHeight="1" x14ac:dyDescent="0.3">
      <c r="A44" s="33" t="s">
        <v>147</v>
      </c>
      <c r="B44" s="33" t="str">
        <f t="shared" si="41"/>
        <v>T</v>
      </c>
      <c r="C44" s="33">
        <f t="shared" si="42"/>
        <v>0</v>
      </c>
      <c r="D44" s="33">
        <f t="shared" si="43"/>
        <v>0</v>
      </c>
      <c r="F44" s="80" t="str">
        <f t="shared" si="44"/>
        <v/>
      </c>
      <c r="G44" s="81" t="str">
        <f>IFERROR(_xlfn.XLOOKUP(A44,'Portfolio Schedule'!AC:AC,'Portfolio Schedule'!Y:Y),"")</f>
        <v/>
      </c>
      <c r="I44" s="82"/>
      <c r="K44" s="83" t="str">
        <f t="shared" si="45"/>
        <v/>
      </c>
      <c r="L44" s="84" t="str">
        <f t="shared" si="46"/>
        <v/>
      </c>
      <c r="M44" s="85" t="str">
        <f t="shared" si="47"/>
        <v/>
      </c>
      <c r="N44" s="86" t="str">
        <f t="shared" si="48"/>
        <v/>
      </c>
      <c r="O44" s="75"/>
      <c r="P44" s="87" t="str">
        <f t="shared" si="49"/>
        <v/>
      </c>
      <c r="Q44" s="75"/>
      <c r="R44" s="88" t="str">
        <f t="shared" si="50"/>
        <v/>
      </c>
      <c r="S44" s="75"/>
      <c r="T44" s="99"/>
      <c r="U44" s="90"/>
      <c r="V44" s="100"/>
      <c r="W44" s="92"/>
      <c r="X44" s="93" t="str">
        <f t="shared" si="51"/>
        <v/>
      </c>
      <c r="Y44" s="92"/>
      <c r="Z44" s="101">
        <f t="shared" si="52"/>
        <v>0</v>
      </c>
      <c r="AA44" s="86" t="str">
        <f t="shared" si="53"/>
        <v/>
      </c>
      <c r="AB44" s="4"/>
      <c r="AC44" s="42" t="str">
        <f t="shared" si="54"/>
        <v/>
      </c>
      <c r="AD44" s="96" t="str">
        <f t="shared" si="55"/>
        <v/>
      </c>
      <c r="AE44" s="42" t="str">
        <f t="shared" si="56"/>
        <v/>
      </c>
      <c r="AF44" s="77"/>
      <c r="AG44" s="42" t="str" cm="1">
        <f t="array" ref="AG44">IF(C44&gt;0,SUMPRODUCT(--(OriginalLenderArray="E"),--(OrderOfSubArray&gt;0),TotalLoanArray)+SUMPRODUCT(--(OriginalLenderArray="T"),--(OrderOfSubArray=0),MortgageArray)+SUMPRODUCT(--(OriginalLenderArray="T"),--(OrderOfSubArray&gt;0),TotalLoanArray)-IF(B44="T",M44,0),"")</f>
        <v/>
      </c>
      <c r="AH44" s="42" t="str" cm="1">
        <f t="array" ref="AH44">IF(C44&gt;0,SUMPRODUCT(--(OriginalLenderArray="T"),MortgageArray)+SUMPRODUCT(--(OriginalLenderArray="T"),--(OrderOfSubArray&gt;0),--(OrderOfSubArray&lt;V44),CapRaiseArray)+SUMPRODUCT(--(OriginalLenderArray="E"),--(OrderOfSubArray&gt;0),--(OrderOfSubArray&lt;V44),TotalLoanArray)-IF(B44="T",M44,0),"")</f>
        <v/>
      </c>
      <c r="AI44" s="42" t="str">
        <f t="shared" si="57"/>
        <v/>
      </c>
      <c r="AJ44" s="42" t="str">
        <f t="shared" si="58"/>
        <v/>
      </c>
      <c r="AK44" s="97" t="str" cm="1">
        <f t="array" ref="AK44">IF(C44&gt;0,COUNTIF(MortgageArray,"&gt;0")+SUMPRODUCT(--(OrderOfSubArray&gt;0),--(MortgageArray=0)),"")</f>
        <v/>
      </c>
      <c r="AL44" s="97" t="str" cm="1">
        <f t="array" ref="AL44">IF(C44&gt;0,COUNTIF(MortgageArray,"&gt;0")+SUMPRODUCT(--(OrderOfSubArray&gt;0),--(OrderOfSubArray&lt;V44),--(MortgageArray=0))+IF(M44=0,1,0),"")</f>
        <v/>
      </c>
      <c r="AM44" s="77"/>
      <c r="AN44" s="97" t="str">
        <f t="shared" si="59"/>
        <v/>
      </c>
      <c r="AO44" s="42" t="str">
        <f t="shared" si="60"/>
        <v/>
      </c>
      <c r="AP44" s="42" t="str">
        <f t="shared" si="61"/>
        <v/>
      </c>
      <c r="AR44" s="42" t="str">
        <f t="shared" si="62"/>
        <v/>
      </c>
      <c r="AS44" s="42" t="str">
        <f t="shared" si="63"/>
        <v/>
      </c>
      <c r="AT44" s="42" t="str">
        <f t="shared" si="64"/>
        <v/>
      </c>
      <c r="AU44" s="42" t="str">
        <f t="shared" si="65"/>
        <v/>
      </c>
      <c r="AV44" s="42" t="str">
        <f t="shared" si="66"/>
        <v/>
      </c>
      <c r="AX44" s="42" t="str">
        <f t="shared" si="67"/>
        <v/>
      </c>
      <c r="AY44" s="42" t="str">
        <f t="shared" si="68"/>
        <v/>
      </c>
      <c r="AZ44" s="4"/>
      <c r="BA44" s="42" t="str">
        <f t="shared" si="69"/>
        <v/>
      </c>
      <c r="BB44" s="42" t="str">
        <f t="shared" si="70"/>
        <v/>
      </c>
      <c r="BC44" s="4"/>
      <c r="BD44" s="42" t="str">
        <f t="shared" si="71"/>
        <v/>
      </c>
      <c r="BE44" s="42" t="str">
        <f t="shared" si="72"/>
        <v/>
      </c>
      <c r="BF44" s="42" t="str">
        <f t="shared" si="73"/>
        <v/>
      </c>
      <c r="BG44" s="42" t="str">
        <f t="shared" si="74"/>
        <v/>
      </c>
      <c r="BH44" s="42" t="str">
        <f t="shared" si="75"/>
        <v/>
      </c>
      <c r="BI44" s="42" t="str">
        <f t="shared" si="76"/>
        <v/>
      </c>
      <c r="BJ44" s="42" t="str">
        <f t="shared" si="77"/>
        <v/>
      </c>
      <c r="BK44" s="42" t="str">
        <f t="shared" si="78"/>
        <v/>
      </c>
      <c r="BL44" s="97" t="str">
        <f>IF(C44&gt;0,IF(OR(Z44&gt;BI44,IF(B44="T",BJ44&lt;2500,BJ44&lt;0),BI44&lt;_xlfn.XLOOKUP(G44,Lookups!$A$2:$A$5,Lookups!$D$2:$D$5,,0,1)),"No","Yes"),"")</f>
        <v/>
      </c>
      <c r="BN44" s="42" t="str">
        <f t="shared" si="79"/>
        <v/>
      </c>
      <c r="BO44" s="42" t="str">
        <f t="shared" si="80"/>
        <v/>
      </c>
      <c r="BP44" s="42" t="str">
        <f t="shared" si="81"/>
        <v/>
      </c>
      <c r="BQ44" s="98" t="str">
        <f t="shared" si="82"/>
        <v/>
      </c>
      <c r="BS44" s="42" t="str">
        <f>IFERROR(IF(OR(L44&lt;_xlfn.XLOOKUP(G44,Lookups!$A$2:$A$5,Lookups!$C$2:$C$5,,0,1),FLOOR(BI44,100)&lt;_xlfn.XLOOKUP(G44,Lookups!$A$2:$A$5,Lookups!$D$2:$D$5,,0,1),AND(B44="T",FLOOR(BK44,100)&lt;2500)),0,FLOOR(BK44,100)),"")</f>
        <v/>
      </c>
    </row>
    <row r="45" spans="1:71" ht="14.25" customHeight="1" x14ac:dyDescent="0.3">
      <c r="A45" s="33" t="s">
        <v>148</v>
      </c>
      <c r="F45" s="80"/>
      <c r="G45" s="81"/>
      <c r="I45" s="82"/>
      <c r="K45" s="83"/>
      <c r="L45" s="84"/>
      <c r="M45" s="85"/>
      <c r="N45" s="86"/>
      <c r="O45" s="75"/>
      <c r="P45" s="87"/>
      <c r="Q45" s="75"/>
      <c r="R45" s="88"/>
      <c r="S45" s="75"/>
      <c r="T45" s="99"/>
      <c r="U45" s="90"/>
      <c r="V45" s="100"/>
      <c r="W45" s="92"/>
      <c r="X45" s="93"/>
      <c r="Y45" s="92"/>
      <c r="Z45" s="101"/>
      <c r="AA45" s="86"/>
      <c r="AB45" s="4"/>
      <c r="AC45" s="42"/>
      <c r="AD45" s="96"/>
      <c r="AE45" s="42"/>
      <c r="AF45" s="77"/>
      <c r="AG45" s="42"/>
      <c r="AH45" s="42"/>
      <c r="AI45" s="42"/>
      <c r="AJ45" s="42"/>
      <c r="AK45" s="97"/>
      <c r="AL45" s="97"/>
      <c r="AM45" s="77"/>
      <c r="AN45" s="97"/>
      <c r="AO45" s="42"/>
      <c r="AP45" s="42"/>
      <c r="AR45" s="42"/>
      <c r="AS45" s="42"/>
      <c r="AT45" s="42"/>
      <c r="AU45" s="42"/>
      <c r="AV45" s="42"/>
      <c r="AX45" s="42"/>
      <c r="AY45" s="42"/>
      <c r="AZ45" s="4"/>
      <c r="BA45" s="42"/>
      <c r="BB45" s="42"/>
      <c r="BC45" s="4"/>
      <c r="BD45" s="42"/>
      <c r="BE45" s="42"/>
      <c r="BF45" s="42"/>
      <c r="BG45" s="42"/>
      <c r="BH45" s="42"/>
      <c r="BI45" s="42"/>
      <c r="BJ45" s="42"/>
      <c r="BK45" s="42"/>
      <c r="BL45" s="97"/>
      <c r="BN45" s="42"/>
      <c r="BO45" s="42"/>
      <c r="BP45" s="42"/>
      <c r="BQ45" s="98"/>
      <c r="BS45" s="42"/>
    </row>
    <row r="46" spans="1:71" ht="14.25" customHeight="1" x14ac:dyDescent="0.3">
      <c r="A46" s="33" t="s">
        <v>149</v>
      </c>
      <c r="B46" s="33" t="str">
        <f t="shared" ref="B46:B47" si="83">LEFT(A46,1)</f>
        <v>T</v>
      </c>
      <c r="C46" s="33">
        <f t="shared" ref="C46:C47" si="84">IF(F46="",0,1)</f>
        <v>0</v>
      </c>
      <c r="D46" s="33">
        <f t="shared" ref="D46:D47" si="85">IF(C46=0,0,IF(OR(LEFT(A46,1) ="T",V46&gt;0),1,0))</f>
        <v>0</v>
      </c>
      <c r="F46" s="80" t="str">
        <f t="shared" ref="F46:F47" si="86">IFERROR(_xlfn.XLOOKUP(A46,UniqueIdentifierArray,AddressArray,"",0,1),"")</f>
        <v/>
      </c>
      <c r="G46" s="81" t="str">
        <f>IFERROR(_xlfn.XLOOKUP(A46,'Portfolio Schedule'!AC:AC,'Portfolio Schedule'!Y:Y),"")</f>
        <v/>
      </c>
      <c r="I46" s="82"/>
      <c r="K46" s="83" t="str">
        <f t="shared" ref="K46:K47" si="87">IFERROR(_xlfn.XLOOKUP(A46,UniqueIdentifierArray,MonthlyRentalArray,"",0,1),"")</f>
        <v/>
      </c>
      <c r="L46" s="84" t="str">
        <f t="shared" ref="L46:L47" si="88">IFERROR(_xlfn.XLOOKUP(A46,UniqueIdentifierArray,CurrentEstimatedValuationArray,"",0,1),"")</f>
        <v/>
      </c>
      <c r="M46" s="85" t="str">
        <f t="shared" ref="M46:M47" si="89">IFERROR(FLOOR(_xlfn.XLOOKUP(A46,UniqueIdentifierArray,MortgageBalanceArray,"",0,1),100),"")</f>
        <v/>
      </c>
      <c r="N46" s="86" t="str">
        <f t="shared" ref="N46:N47" si="90">IFERROR(M46/L46,"")</f>
        <v/>
      </c>
      <c r="O46" s="75"/>
      <c r="P46" s="87" t="str">
        <f t="shared" ref="P46:P47" si="91">IF(C46&gt;0,"-","")</f>
        <v/>
      </c>
      <c r="Q46" s="75"/>
      <c r="R46" s="88" t="str">
        <f t="shared" ref="R46:R47" si="92">IF(BS46&gt;0,BS46,"")</f>
        <v/>
      </c>
      <c r="S46" s="75"/>
      <c r="T46" s="99"/>
      <c r="U46" s="90"/>
      <c r="V46" s="100"/>
      <c r="W46" s="92"/>
      <c r="X46" s="93" t="str">
        <f t="shared" ref="X46:X47" si="93">IF(BQ46&gt;0,BQ46,"")</f>
        <v/>
      </c>
      <c r="Y46" s="92"/>
      <c r="Z46" s="101">
        <f t="shared" ref="Z46:Z47" si="94">IF(V46&gt;0,SUM(M46,T46),0)</f>
        <v>0</v>
      </c>
      <c r="AA46" s="86" t="str">
        <f t="shared" ref="AA46:AA47" si="95">IFERROR(SUM(T46,M46)/L46,"")</f>
        <v/>
      </c>
      <c r="AB46" s="4"/>
      <c r="AC46" s="42" t="str">
        <f t="shared" ref="AC46:AC47" si="96">IF(C46&gt;0,L46*$AC$9,"")</f>
        <v/>
      </c>
      <c r="AD46" s="96" t="str">
        <f t="shared" ref="AD46:AD47" si="97">IF(C46&gt;0,VLOOKUP(G46,Min_ICR,2,FALSE),"")</f>
        <v/>
      </c>
      <c r="AE46" s="42" t="str">
        <f t="shared" ref="AE46:AE47" si="98">IF(C46&gt;0,ROUNDDOWN(K46*12/AD46/AE$9-M46*AE$8/AE$9+M46,0),"")</f>
        <v/>
      </c>
      <c r="AF46" s="77"/>
      <c r="AG46" s="42" t="str" cm="1">
        <f t="array" ref="AG46">IF(C46&gt;0,SUMPRODUCT(--(OriginalLenderArray="E"),--(OrderOfSubArray&gt;0),TotalLoanArray)+SUMPRODUCT(--(OriginalLenderArray="T"),--(OrderOfSubArray=0),MortgageArray)+SUMPRODUCT(--(OriginalLenderArray="T"),--(OrderOfSubArray&gt;0),TotalLoanArray)-IF(B46="T",M46,0),"")</f>
        <v/>
      </c>
      <c r="AH46" s="42" t="str" cm="1">
        <f t="array" ref="AH46">IF(C46&gt;0,SUMPRODUCT(--(OriginalLenderArray="T"),MortgageArray)+SUMPRODUCT(--(OriginalLenderArray="T"),--(OrderOfSubArray&gt;0),--(OrderOfSubArray&lt;V46),CapRaiseArray)+SUMPRODUCT(--(OriginalLenderArray="E"),--(OrderOfSubArray&gt;0),--(OrderOfSubArray&lt;V46),TotalLoanArray)-IF(B46="T",M46,0),"")</f>
        <v/>
      </c>
      <c r="AI46" s="42" t="str">
        <f t="shared" ref="AI46:AI47" si="99">IF(C46&gt;0,SUM(MortgageArray)+SUMIF(OrderOfSubArray,"&gt;0",CapRaiseArray)-M46-IF(V46&gt;0,T46,0),"")</f>
        <v/>
      </c>
      <c r="AJ46" s="42" t="str">
        <f t="shared" ref="AJ46:AJ47" si="100">IF(C46&gt;0,SUM(MortgageArray)+SUMPRODUCT(CapRaiseArray,--(OrderOfSubArray&lt;V46),--(OrderOfSubArray&gt;0))-M46,"")</f>
        <v/>
      </c>
      <c r="AK46" s="97" t="str" cm="1">
        <f t="array" ref="AK46">IF(C46&gt;0,COUNTIF(MortgageArray,"&gt;0")+SUMPRODUCT(--(OrderOfSubArray&gt;0),--(MortgageArray=0)),"")</f>
        <v/>
      </c>
      <c r="AL46" s="97" t="str" cm="1">
        <f t="array" ref="AL46">IF(C46&gt;0,COUNTIF(MortgageArray,"&gt;0")+SUMPRODUCT(--(OrderOfSubArray&gt;0),--(OrderOfSubArray&lt;V46),--(MortgageArray=0))+IF(M46=0,1,0),"")</f>
        <v/>
      </c>
      <c r="AM46" s="77"/>
      <c r="AN46" s="97" t="str">
        <f t="shared" ref="AN46:AN47" si="101">IF(C46&gt;0,IF(V46&gt;0,AL46,AK46),"")</f>
        <v/>
      </c>
      <c r="AO46" s="42" t="str">
        <f t="shared" ref="AO46:AO47" si="102">IF(C46&gt;0,IF(V46&gt;0,AH46,AG46),"")</f>
        <v/>
      </c>
      <c r="AP46" s="42" t="str">
        <f t="shared" ref="AP46:AP47" si="103">IF(C46&gt;0,IF(V46&gt;0,AJ46,AI46),"")</f>
        <v/>
      </c>
      <c r="AR46" s="42" t="str">
        <f t="shared" ref="AR46:AR47" si="104">IF(C46&gt;0,MIN($L46*AR$8,AR$9-$AO46),"")</f>
        <v/>
      </c>
      <c r="AS46" s="42" t="str">
        <f t="shared" ref="AS46:AS47" si="105">IF(C46&gt;0,MIN($L46*AS$8,AS$9-$AO46),"")</f>
        <v/>
      </c>
      <c r="AT46" s="42" t="str">
        <f t="shared" ref="AT46:AT47" si="106">IF(C46&gt;0,MIN($L46*AT$8,AT$9-$AO46),"")</f>
        <v/>
      </c>
      <c r="AU46" s="42" t="str">
        <f t="shared" ref="AU46:AU47" si="107">IF(C46&gt;0,MIN($L46*AU$8,AU$9-$AO46),"")</f>
        <v/>
      </c>
      <c r="AV46" s="42" t="str">
        <f t="shared" ref="AV46:AV47" si="108">IF(C46&gt;0,MIN($L46*AV$8,AV$9-$AO46),"")</f>
        <v/>
      </c>
      <c r="AX46" s="42" t="str">
        <f t="shared" ref="AX46:AX47" si="109">IF(C46&gt;0,IF($AN46&gt;10,0,MIN(AX$9-$AO46,Port_Val*AX$8-$AP46)),"")</f>
        <v/>
      </c>
      <c r="AY46" s="42" t="str">
        <f t="shared" ref="AY46:AY47" si="110">IF(C46&gt;0,Port_Val*AY$8-AP46,"")</f>
        <v/>
      </c>
      <c r="AZ46" s="4"/>
      <c r="BA46" s="42" t="str">
        <f t="shared" ref="BA46:BA47" si="111">IF(C46&gt;0,ROUNDDOWN(IF($AN46&gt;10,0,MIN(BA$9-$AO46,Port_Rent*12/BA$8/1.45-AP46)),0),"")</f>
        <v/>
      </c>
      <c r="BB46" s="42" t="str">
        <f t="shared" ref="BB46:BB47" si="112">IF(C46&gt;0,ROUNDDOWN(Port_Rent*12/BB$8/1.45-AP46,0),"")</f>
        <v/>
      </c>
      <c r="BC46" s="4"/>
      <c r="BD46" s="42" t="str">
        <f t="shared" ref="BD46:BD47" si="113">AE46</f>
        <v/>
      </c>
      <c r="BE46" s="42" t="str">
        <f t="shared" ref="BE46:BE47" si="114">AC46</f>
        <v/>
      </c>
      <c r="BF46" s="42" t="str">
        <f t="shared" ref="BF46:BF47" si="115">IF(C46&gt;0,MAX(AR46:AV46),"")</f>
        <v/>
      </c>
      <c r="BG46" s="42" t="str">
        <f t="shared" ref="BG46:BG47" si="116">IF(C46&gt;0,MAX(AX46,AY46),"")</f>
        <v/>
      </c>
      <c r="BH46" s="42" t="str">
        <f t="shared" ref="BH46:BH47" si="117">IF(C46&gt;0,MAX(BA46:BB46),"")</f>
        <v/>
      </c>
      <c r="BI46" s="42" t="str">
        <f t="shared" ref="BI46:BI47" si="118">IF(C46&gt;0,FLOOR(MIN(BD46:BH46),100),"")</f>
        <v/>
      </c>
      <c r="BJ46" s="42" t="str">
        <f t="shared" ref="BJ46:BJ47" si="119">IFERROR(BI46-M46,"")</f>
        <v/>
      </c>
      <c r="BK46" s="42" t="str">
        <f t="shared" ref="BK46:BK47" si="120">IF(C46&gt;0,BI46-M46,"")</f>
        <v/>
      </c>
      <c r="BL46" s="97" t="str">
        <f>IF(C46&gt;0,IF(OR(Z46&gt;BI46,IF(B46="T",BJ46&lt;2500,BJ46&lt;0),BI46&lt;_xlfn.XLOOKUP(G46,Lookups!$A$2:$A$5,Lookups!$D$2:$D$5,,0,1)),"No","Yes"),"")</f>
        <v/>
      </c>
      <c r="BN46" s="42" t="str">
        <f t="shared" ref="BN46:BN47" si="121">IF(C46&gt;0,T46+M46,"")</f>
        <v/>
      </c>
      <c r="BO46" s="42" t="str">
        <f t="shared" ref="BO46:BO47" si="122">IF(C46&gt;0,FLOOR(MIN(BF46:BH46),100),"")</f>
        <v/>
      </c>
      <c r="BP46" s="42" t="str">
        <f t="shared" ref="BP46:BP47" si="123">IF(C46&gt;0,IF(B46="E",IF(BN46&gt;MIN(BO46,BE46),FALSE,TRUE),IF(OR(BN46&gt;MIN(BO46,BE46),BN46&lt;M46+2500),FALSE,TRUE)),"")</f>
        <v/>
      </c>
      <c r="BQ46" s="98" t="str">
        <f t="shared" ref="BQ46:BQ47" si="124">IFERROR(IF(AND(C46&gt;0,BP46=TRUE),ROUNDDOWN((K46*12/AD46-M46*AE$8)/T46,4),""),"")</f>
        <v/>
      </c>
      <c r="BS46" s="42" t="str">
        <f>IFERROR(IF(OR(L46&lt;_xlfn.XLOOKUP(G46,Lookups!$A$2:$A$5,Lookups!$C$2:$C$5,,0,1),FLOOR(BI46,100)&lt;_xlfn.XLOOKUP(G46,Lookups!$A$2:$A$5,Lookups!$D$2:$D$5,,0,1),AND(B46="T",FLOOR(BK46,100)&lt;2500)),0,FLOOR(BK46,100)),"")</f>
        <v/>
      </c>
    </row>
    <row r="47" spans="1:71" ht="14.25" customHeight="1" x14ac:dyDescent="0.3">
      <c r="A47" s="33" t="s">
        <v>273</v>
      </c>
      <c r="B47" s="33" t="str">
        <f t="shared" si="83"/>
        <v>T</v>
      </c>
      <c r="C47" s="33">
        <f t="shared" si="84"/>
        <v>0</v>
      </c>
      <c r="D47" s="33">
        <f t="shared" si="85"/>
        <v>0</v>
      </c>
      <c r="F47" s="80" t="str">
        <f t="shared" si="86"/>
        <v/>
      </c>
      <c r="G47" s="81" t="str">
        <f>IFERROR(_xlfn.XLOOKUP(A47,'Portfolio Schedule'!AC:AC,'Portfolio Schedule'!Y:Y),"")</f>
        <v/>
      </c>
      <c r="I47" s="82"/>
      <c r="K47" s="83" t="str">
        <f t="shared" si="87"/>
        <v/>
      </c>
      <c r="L47" s="84" t="str">
        <f t="shared" si="88"/>
        <v/>
      </c>
      <c r="M47" s="85" t="str">
        <f t="shared" si="89"/>
        <v/>
      </c>
      <c r="N47" s="86" t="str">
        <f t="shared" si="90"/>
        <v/>
      </c>
      <c r="O47" s="75"/>
      <c r="P47" s="87" t="str">
        <f t="shared" si="91"/>
        <v/>
      </c>
      <c r="Q47" s="75"/>
      <c r="R47" s="88" t="str">
        <f t="shared" si="92"/>
        <v/>
      </c>
      <c r="S47" s="75"/>
      <c r="T47" s="99"/>
      <c r="U47" s="90"/>
      <c r="V47" s="100"/>
      <c r="W47" s="92"/>
      <c r="X47" s="93" t="str">
        <f t="shared" si="93"/>
        <v/>
      </c>
      <c r="Y47" s="92"/>
      <c r="Z47" s="101">
        <f t="shared" si="94"/>
        <v>0</v>
      </c>
      <c r="AA47" s="86" t="str">
        <f t="shared" si="95"/>
        <v/>
      </c>
      <c r="AB47" s="4"/>
      <c r="AC47" s="42" t="str">
        <f t="shared" si="96"/>
        <v/>
      </c>
      <c r="AD47" s="96" t="str">
        <f t="shared" si="97"/>
        <v/>
      </c>
      <c r="AE47" s="42" t="str">
        <f t="shared" si="98"/>
        <v/>
      </c>
      <c r="AF47" s="77"/>
      <c r="AG47" s="42" t="str" cm="1">
        <f t="array" ref="AG47">IF(C47&gt;0,SUMPRODUCT(--(OriginalLenderArray="E"),--(OrderOfSubArray&gt;0),TotalLoanArray)+SUMPRODUCT(--(OriginalLenderArray="T"),--(OrderOfSubArray=0),MortgageArray)+SUMPRODUCT(--(OriginalLenderArray="T"),--(OrderOfSubArray&gt;0),TotalLoanArray)-IF(B47="T",M47,0),"")</f>
        <v/>
      </c>
      <c r="AH47" s="42" t="str" cm="1">
        <f t="array" ref="AH47">IF(C47&gt;0,SUMPRODUCT(--(OriginalLenderArray="T"),MortgageArray)+SUMPRODUCT(--(OriginalLenderArray="T"),--(OrderOfSubArray&gt;0),--(OrderOfSubArray&lt;V47),CapRaiseArray)+SUMPRODUCT(--(OriginalLenderArray="E"),--(OrderOfSubArray&gt;0),--(OrderOfSubArray&lt;V47),TotalLoanArray)-IF(B47="T",M47,0),"")</f>
        <v/>
      </c>
      <c r="AI47" s="42" t="str">
        <f t="shared" si="99"/>
        <v/>
      </c>
      <c r="AJ47" s="42" t="str">
        <f t="shared" si="100"/>
        <v/>
      </c>
      <c r="AK47" s="97" t="str" cm="1">
        <f t="array" ref="AK47">IF(C47&gt;0,COUNTIF(MortgageArray,"&gt;0")+SUMPRODUCT(--(OrderOfSubArray&gt;0),--(MortgageArray=0)),"")</f>
        <v/>
      </c>
      <c r="AL47" s="97" t="str" cm="1">
        <f t="array" ref="AL47">IF(C47&gt;0,COUNTIF(MortgageArray,"&gt;0")+SUMPRODUCT(--(OrderOfSubArray&gt;0),--(OrderOfSubArray&lt;V47),--(MortgageArray=0))+IF(M47=0,1,0),"")</f>
        <v/>
      </c>
      <c r="AM47" s="77"/>
      <c r="AN47" s="97" t="str">
        <f t="shared" si="101"/>
        <v/>
      </c>
      <c r="AO47" s="42" t="str">
        <f t="shared" si="102"/>
        <v/>
      </c>
      <c r="AP47" s="42" t="str">
        <f t="shared" si="103"/>
        <v/>
      </c>
      <c r="AR47" s="42" t="str">
        <f t="shared" si="104"/>
        <v/>
      </c>
      <c r="AS47" s="42" t="str">
        <f t="shared" si="105"/>
        <v/>
      </c>
      <c r="AT47" s="42" t="str">
        <f t="shared" si="106"/>
        <v/>
      </c>
      <c r="AU47" s="42" t="str">
        <f t="shared" si="107"/>
        <v/>
      </c>
      <c r="AV47" s="42" t="str">
        <f t="shared" si="108"/>
        <v/>
      </c>
      <c r="AX47" s="42" t="str">
        <f t="shared" si="109"/>
        <v/>
      </c>
      <c r="AY47" s="42" t="str">
        <f t="shared" si="110"/>
        <v/>
      </c>
      <c r="AZ47" s="4"/>
      <c r="BA47" s="42" t="str">
        <f t="shared" si="111"/>
        <v/>
      </c>
      <c r="BB47" s="42" t="str">
        <f t="shared" si="112"/>
        <v/>
      </c>
      <c r="BC47" s="4"/>
      <c r="BD47" s="42" t="str">
        <f t="shared" si="113"/>
        <v/>
      </c>
      <c r="BE47" s="42" t="str">
        <f t="shared" si="114"/>
        <v/>
      </c>
      <c r="BF47" s="42" t="str">
        <f t="shared" si="115"/>
        <v/>
      </c>
      <c r="BG47" s="42" t="str">
        <f t="shared" si="116"/>
        <v/>
      </c>
      <c r="BH47" s="42" t="str">
        <f t="shared" si="117"/>
        <v/>
      </c>
      <c r="BI47" s="42" t="str">
        <f t="shared" si="118"/>
        <v/>
      </c>
      <c r="BJ47" s="42" t="str">
        <f t="shared" si="119"/>
        <v/>
      </c>
      <c r="BK47" s="42" t="str">
        <f t="shared" si="120"/>
        <v/>
      </c>
      <c r="BL47" s="97" t="str">
        <f>IF(C47&gt;0,IF(OR(Z47&gt;BI47,IF(B47="T",BJ47&lt;2500,BJ47&lt;0),BI47&lt;_xlfn.XLOOKUP(G47,Lookups!$A$2:$A$5,Lookups!$D$2:$D$5,,0,1)),"No","Yes"),"")</f>
        <v/>
      </c>
      <c r="BN47" s="42" t="str">
        <f t="shared" si="121"/>
        <v/>
      </c>
      <c r="BO47" s="42" t="str">
        <f t="shared" si="122"/>
        <v/>
      </c>
      <c r="BP47" s="42" t="str">
        <f t="shared" si="123"/>
        <v/>
      </c>
      <c r="BQ47" s="98" t="str">
        <f t="shared" si="124"/>
        <v/>
      </c>
      <c r="BS47" s="42" t="str">
        <f>IFERROR(IF(OR(L47&lt;_xlfn.XLOOKUP(G47,Lookups!$A$2:$A$5,Lookups!$C$2:$C$5,,0,1),FLOOR(BI47,100)&lt;_xlfn.XLOOKUP(G47,Lookups!$A$2:$A$5,Lookups!$D$2:$D$5,,0,1),AND(B47="T",FLOOR(BK47,100)&lt;2500)),0,FLOOR(BK47,100)),"")</f>
        <v/>
      </c>
    </row>
    <row r="48" spans="1:71" ht="20.149999999999999" customHeight="1" x14ac:dyDescent="0.35">
      <c r="F48" s="173" t="s">
        <v>150</v>
      </c>
      <c r="G48" s="173"/>
      <c r="H48" s="173"/>
      <c r="I48" s="173"/>
      <c r="J48" s="173"/>
      <c r="K48" s="173"/>
      <c r="L48" s="173"/>
      <c r="M48" s="173"/>
      <c r="N48" s="173"/>
      <c r="O48" s="173"/>
      <c r="P48" s="173"/>
      <c r="Q48" s="173"/>
      <c r="R48" s="173"/>
      <c r="S48" s="173"/>
      <c r="T48" s="173"/>
      <c r="U48" s="173"/>
      <c r="V48" s="173"/>
      <c r="W48" s="173"/>
      <c r="X48" s="173"/>
      <c r="Y48" s="173"/>
      <c r="Z48" s="173"/>
      <c r="AA48" s="173"/>
      <c r="BA48" s="77"/>
      <c r="BB48" s="77"/>
    </row>
    <row r="49" spans="6:27" ht="16.5" customHeight="1" x14ac:dyDescent="0.35">
      <c r="F49" s="102" t="s">
        <v>151</v>
      </c>
      <c r="G49" s="103"/>
      <c r="H49" s="174" t="s">
        <v>152</v>
      </c>
      <c r="I49" s="175"/>
      <c r="J49" s="175"/>
      <c r="K49" s="175"/>
      <c r="L49" s="175"/>
      <c r="M49" s="175"/>
      <c r="N49" s="175"/>
      <c r="O49" s="175"/>
      <c r="P49" s="175"/>
      <c r="Q49" s="175"/>
      <c r="R49" s="175"/>
      <c r="S49" s="175"/>
      <c r="T49" s="175"/>
      <c r="U49" s="175"/>
      <c r="V49" s="175"/>
      <c r="W49" s="175"/>
      <c r="X49" s="175"/>
      <c r="Y49" s="175"/>
      <c r="Z49" s="175"/>
      <c r="AA49" s="175"/>
    </row>
    <row r="50" spans="6:27" ht="16.5" customHeight="1" x14ac:dyDescent="0.35">
      <c r="F50" s="104"/>
      <c r="G50" s="90"/>
      <c r="H50" s="176"/>
      <c r="I50" s="177"/>
      <c r="J50" s="177"/>
      <c r="K50" s="177"/>
      <c r="L50" s="177"/>
      <c r="M50" s="177"/>
      <c r="N50" s="177"/>
      <c r="O50" s="177"/>
      <c r="P50" s="177"/>
      <c r="Q50" s="177"/>
      <c r="R50" s="177"/>
      <c r="S50" s="177"/>
      <c r="T50" s="177"/>
      <c r="U50" s="177"/>
      <c r="V50" s="177"/>
      <c r="W50" s="177"/>
      <c r="X50" s="177"/>
      <c r="Y50" s="177"/>
      <c r="Z50" s="177"/>
      <c r="AA50" s="178"/>
    </row>
    <row r="51" spans="6:27" ht="156.75" customHeight="1" x14ac:dyDescent="0.35">
      <c r="F51" s="90"/>
      <c r="G51" s="90"/>
      <c r="H51" s="179"/>
      <c r="I51" s="180"/>
      <c r="J51" s="180"/>
      <c r="K51" s="180"/>
      <c r="L51" s="180"/>
      <c r="M51" s="180"/>
      <c r="N51" s="180"/>
      <c r="O51" s="180"/>
      <c r="P51" s="180"/>
      <c r="Q51" s="180"/>
      <c r="R51" s="180"/>
      <c r="S51" s="180"/>
      <c r="T51" s="180"/>
      <c r="U51" s="180"/>
      <c r="V51" s="180"/>
      <c r="W51" s="180"/>
      <c r="X51" s="180"/>
      <c r="Y51" s="180"/>
      <c r="Z51" s="180"/>
      <c r="AA51" s="181"/>
    </row>
    <row r="52" spans="6:27" ht="15" customHeight="1" x14ac:dyDescent="0.35">
      <c r="K52"/>
      <c r="L52"/>
      <c r="M52"/>
      <c r="N52"/>
      <c r="O52"/>
      <c r="P52"/>
      <c r="Q52"/>
      <c r="R52"/>
      <c r="S52"/>
      <c r="T52"/>
      <c r="U52"/>
      <c r="V52"/>
      <c r="W52"/>
      <c r="X52"/>
      <c r="Y52"/>
      <c r="Z52" s="4" t="s">
        <v>44</v>
      </c>
    </row>
    <row r="53" spans="6:27" ht="15" customHeight="1" x14ac:dyDescent="0.35"/>
    <row r="54" spans="6:27" ht="15" customHeight="1" x14ac:dyDescent="0.35"/>
    <row r="55" spans="6:27" ht="15" customHeight="1" x14ac:dyDescent="0.35"/>
    <row r="56" spans="6:27" ht="15" customHeight="1" x14ac:dyDescent="0.35"/>
    <row r="57" spans="6:27" ht="15" customHeight="1" x14ac:dyDescent="0.35"/>
    <row r="58" spans="6:27" ht="15" customHeight="1" x14ac:dyDescent="0.35"/>
    <row r="59" spans="6:27" ht="15" customHeight="1" x14ac:dyDescent="0.35"/>
    <row r="60" spans="6:27" ht="15" customHeight="1" x14ac:dyDescent="0.35"/>
    <row r="61" spans="6:27" ht="15" customHeight="1" x14ac:dyDescent="0.35"/>
    <row r="62" spans="6:27" ht="15" customHeight="1" x14ac:dyDescent="0.35"/>
    <row r="63" spans="6:27" ht="15" customHeight="1" x14ac:dyDescent="0.35"/>
    <row r="64" spans="6:27" ht="15" customHeight="1" x14ac:dyDescent="0.35"/>
    <row r="65" ht="15" customHeight="1" x14ac:dyDescent="0.35"/>
    <row r="66" ht="15" customHeight="1" x14ac:dyDescent="0.35"/>
    <row r="67" ht="15" customHeight="1" x14ac:dyDescent="0.35"/>
    <row r="68" ht="15" customHeight="1" x14ac:dyDescent="0.35"/>
    <row r="69" ht="15" customHeight="1" x14ac:dyDescent="0.35"/>
    <row r="70" ht="15" customHeight="1" x14ac:dyDescent="0.35"/>
    <row r="71" ht="15" customHeight="1" x14ac:dyDescent="0.35"/>
    <row r="72" ht="15" customHeight="1" x14ac:dyDescent="0.35"/>
    <row r="73" ht="15" customHeight="1" x14ac:dyDescent="0.35"/>
    <row r="74" ht="15" customHeight="1" x14ac:dyDescent="0.35"/>
    <row r="75" ht="15" customHeight="1" x14ac:dyDescent="0.35"/>
    <row r="76" ht="15" customHeight="1" x14ac:dyDescent="0.35"/>
    <row r="77" ht="15" customHeight="1" x14ac:dyDescent="0.35"/>
    <row r="78" ht="15" customHeight="1" x14ac:dyDescent="0.35"/>
    <row r="79" ht="15" customHeight="1" x14ac:dyDescent="0.35"/>
    <row r="80" ht="15" customHeight="1" x14ac:dyDescent="0.35"/>
    <row r="81" ht="15" customHeight="1" x14ac:dyDescent="0.35"/>
    <row r="82" ht="15" customHeight="1" x14ac:dyDescent="0.35"/>
    <row r="83" ht="15" customHeight="1" x14ac:dyDescent="0.35"/>
    <row r="84" ht="15" customHeight="1" x14ac:dyDescent="0.35"/>
    <row r="85" ht="15" customHeight="1" x14ac:dyDescent="0.35"/>
    <row r="86" ht="15" customHeight="1" x14ac:dyDescent="0.35"/>
    <row r="87" ht="15" customHeight="1" x14ac:dyDescent="0.35"/>
    <row r="88" ht="15" customHeight="1" x14ac:dyDescent="0.35"/>
    <row r="89" ht="15" customHeight="1" x14ac:dyDescent="0.35"/>
    <row r="90" ht="15" customHeight="1" x14ac:dyDescent="0.35"/>
    <row r="91" ht="15" customHeight="1" x14ac:dyDescent="0.35"/>
    <row r="92" ht="15" customHeight="1" x14ac:dyDescent="0.35"/>
    <row r="93" ht="15" customHeight="1" x14ac:dyDescent="0.35"/>
    <row r="94" ht="15" customHeight="1" x14ac:dyDescent="0.35"/>
    <row r="95" ht="15" customHeight="1" x14ac:dyDescent="0.35"/>
    <row r="96" ht="15" customHeight="1" x14ac:dyDescent="0.35"/>
    <row r="97" ht="15" customHeight="1" x14ac:dyDescent="0.35"/>
    <row r="98" ht="15" customHeight="1" x14ac:dyDescent="0.35"/>
    <row r="99" ht="15" customHeight="1" x14ac:dyDescent="0.35"/>
    <row r="100" ht="15" customHeight="1" x14ac:dyDescent="0.35"/>
    <row r="101" ht="15" customHeight="1" x14ac:dyDescent="0.35"/>
    <row r="102" ht="15" customHeight="1" x14ac:dyDescent="0.35"/>
    <row r="103" ht="15" customHeight="1" x14ac:dyDescent="0.35"/>
    <row r="104" ht="15" customHeight="1" x14ac:dyDescent="0.35"/>
    <row r="105" ht="15" customHeight="1" x14ac:dyDescent="0.35"/>
    <row r="106" ht="15" customHeight="1" x14ac:dyDescent="0.35"/>
    <row r="107" ht="15" customHeight="1" x14ac:dyDescent="0.35"/>
    <row r="108" ht="15" customHeight="1" x14ac:dyDescent="0.35"/>
    <row r="109" ht="15" customHeight="1" x14ac:dyDescent="0.35"/>
    <row r="110" ht="15" customHeight="1" x14ac:dyDescent="0.35"/>
    <row r="111" ht="15" customHeight="1" x14ac:dyDescent="0.35"/>
    <row r="112" ht="15" customHeight="1" x14ac:dyDescent="0.35"/>
    <row r="113" ht="15" customHeight="1" x14ac:dyDescent="0.35"/>
    <row r="114" ht="15" customHeight="1" x14ac:dyDescent="0.35"/>
    <row r="115" ht="15" customHeight="1" x14ac:dyDescent="0.35"/>
    <row r="116" ht="15" customHeight="1" x14ac:dyDescent="0.35"/>
    <row r="117" ht="15" customHeight="1" x14ac:dyDescent="0.35"/>
    <row r="118" ht="15" customHeight="1" x14ac:dyDescent="0.35"/>
    <row r="119" ht="15" customHeight="1" x14ac:dyDescent="0.35"/>
    <row r="120" ht="15" customHeight="1" x14ac:dyDescent="0.35"/>
    <row r="121" ht="15" customHeight="1" x14ac:dyDescent="0.35"/>
    <row r="122" ht="15" customHeight="1" x14ac:dyDescent="0.35"/>
    <row r="123" ht="15" customHeight="1" x14ac:dyDescent="0.35"/>
    <row r="124" ht="15" customHeight="1" x14ac:dyDescent="0.35"/>
    <row r="125" ht="15" customHeight="1" x14ac:dyDescent="0.35"/>
    <row r="126" ht="15" customHeight="1" x14ac:dyDescent="0.35"/>
    <row r="127" ht="15" customHeight="1" x14ac:dyDescent="0.35"/>
    <row r="128" ht="15" customHeight="1" x14ac:dyDescent="0.35"/>
    <row r="129" ht="15" customHeight="1" x14ac:dyDescent="0.35"/>
    <row r="130" ht="15" customHeight="1" x14ac:dyDescent="0.35"/>
    <row r="131" ht="15" customHeight="1" x14ac:dyDescent="0.35"/>
    <row r="132" ht="15" customHeight="1" x14ac:dyDescent="0.35"/>
    <row r="133" ht="15" customHeight="1" x14ac:dyDescent="0.35"/>
    <row r="134" ht="15" customHeight="1" x14ac:dyDescent="0.35"/>
    <row r="135" ht="15" customHeight="1" x14ac:dyDescent="0.35"/>
    <row r="136" ht="15" customHeight="1" x14ac:dyDescent="0.35"/>
    <row r="137" ht="15" customHeight="1" x14ac:dyDescent="0.35"/>
    <row r="138" ht="15" customHeight="1" x14ac:dyDescent="0.35"/>
    <row r="139" ht="15" customHeight="1" x14ac:dyDescent="0.35"/>
    <row r="140" ht="15" customHeight="1" x14ac:dyDescent="0.35"/>
    <row r="141" ht="15" customHeight="1" x14ac:dyDescent="0.35"/>
    <row r="142" ht="15" customHeight="1" x14ac:dyDescent="0.35"/>
    <row r="143" ht="15" customHeight="1" x14ac:dyDescent="0.35"/>
    <row r="144" ht="15" customHeight="1" x14ac:dyDescent="0.35"/>
    <row r="145" ht="15" customHeight="1" x14ac:dyDescent="0.35"/>
    <row r="146" ht="15" customHeight="1" x14ac:dyDescent="0.35"/>
    <row r="147" ht="15" customHeight="1" x14ac:dyDescent="0.35"/>
    <row r="148" ht="15" customHeight="1" x14ac:dyDescent="0.35"/>
    <row r="149" ht="15" customHeight="1" x14ac:dyDescent="0.35"/>
    <row r="150" ht="15" customHeight="1" x14ac:dyDescent="0.35"/>
    <row r="151" ht="15" customHeight="1" x14ac:dyDescent="0.35"/>
    <row r="152" ht="15" customHeight="1" x14ac:dyDescent="0.35"/>
    <row r="153" ht="15" customHeight="1" x14ac:dyDescent="0.35"/>
    <row r="154" ht="15" customHeight="1" x14ac:dyDescent="0.35"/>
    <row r="155" ht="15" customHeight="1" x14ac:dyDescent="0.35"/>
    <row r="156" ht="15" customHeight="1" x14ac:dyDescent="0.35"/>
    <row r="157" ht="15" customHeight="1" x14ac:dyDescent="0.35"/>
    <row r="158" ht="15" customHeight="1" x14ac:dyDescent="0.35"/>
    <row r="159" ht="15" customHeight="1" x14ac:dyDescent="0.35"/>
    <row r="160" ht="15" customHeight="1" x14ac:dyDescent="0.35"/>
    <row r="161" ht="15" customHeight="1" x14ac:dyDescent="0.35"/>
    <row r="162" ht="15" customHeight="1" x14ac:dyDescent="0.35"/>
    <row r="163" ht="15" customHeight="1" x14ac:dyDescent="0.35"/>
    <row r="164" ht="15" customHeight="1" x14ac:dyDescent="0.35"/>
    <row r="165" ht="15" customHeight="1" x14ac:dyDescent="0.35"/>
    <row r="166" ht="15" customHeight="1" x14ac:dyDescent="0.35"/>
    <row r="167" ht="15" customHeight="1" x14ac:dyDescent="0.35"/>
    <row r="168" ht="15" customHeight="1" x14ac:dyDescent="0.35"/>
    <row r="169" ht="15" customHeight="1" x14ac:dyDescent="0.35"/>
    <row r="170" ht="15" customHeight="1" x14ac:dyDescent="0.35"/>
    <row r="171" ht="15" customHeight="1" x14ac:dyDescent="0.35"/>
    <row r="172" ht="15" customHeight="1" x14ac:dyDescent="0.35"/>
    <row r="173" ht="15" customHeight="1" x14ac:dyDescent="0.35"/>
    <row r="174" ht="15" customHeight="1" x14ac:dyDescent="0.35"/>
    <row r="175" ht="15" customHeight="1" x14ac:dyDescent="0.35"/>
    <row r="176" ht="15" customHeight="1" x14ac:dyDescent="0.35"/>
    <row r="177" ht="15" customHeight="1" x14ac:dyDescent="0.35"/>
    <row r="178" ht="15" customHeight="1" x14ac:dyDescent="0.35"/>
    <row r="179" ht="15" customHeight="1" x14ac:dyDescent="0.35"/>
    <row r="180" ht="15" customHeight="1" x14ac:dyDescent="0.35"/>
    <row r="181" ht="15" customHeight="1" x14ac:dyDescent="0.35"/>
    <row r="182" ht="15" customHeight="1" x14ac:dyDescent="0.35"/>
    <row r="183" ht="15" customHeight="1" x14ac:dyDescent="0.35"/>
    <row r="184" ht="15" customHeight="1" x14ac:dyDescent="0.35"/>
    <row r="185" ht="15" customHeight="1" x14ac:dyDescent="0.35"/>
    <row r="186" ht="15" customHeight="1" x14ac:dyDescent="0.35"/>
    <row r="187" ht="15" customHeight="1" x14ac:dyDescent="0.35"/>
    <row r="188" ht="15" customHeight="1" x14ac:dyDescent="0.35"/>
    <row r="189" ht="15" customHeight="1" x14ac:dyDescent="0.35"/>
    <row r="190" ht="15" customHeight="1" x14ac:dyDescent="0.35"/>
    <row r="191" ht="15" customHeight="1" x14ac:dyDescent="0.35"/>
    <row r="192" ht="15" customHeight="1" x14ac:dyDescent="0.35"/>
    <row r="193" ht="15" customHeight="1" x14ac:dyDescent="0.35"/>
    <row r="194" ht="15" customHeight="1" x14ac:dyDescent="0.35"/>
    <row r="195" ht="15" customHeight="1" x14ac:dyDescent="0.35"/>
    <row r="196" ht="15" customHeight="1" x14ac:dyDescent="0.35"/>
    <row r="197" ht="15" customHeight="1" x14ac:dyDescent="0.35"/>
    <row r="198" ht="15" customHeight="1" x14ac:dyDescent="0.35"/>
    <row r="199" ht="15" customHeight="1" x14ac:dyDescent="0.35"/>
    <row r="200" ht="15" customHeight="1" x14ac:dyDescent="0.35"/>
    <row r="201" ht="15" customHeight="1" x14ac:dyDescent="0.35"/>
    <row r="202" ht="15" customHeight="1" x14ac:dyDescent="0.35"/>
    <row r="203" ht="15" customHeight="1" x14ac:dyDescent="0.35"/>
    <row r="204" ht="15" customHeight="1" x14ac:dyDescent="0.35"/>
    <row r="205" ht="15" customHeight="1" x14ac:dyDescent="0.35"/>
    <row r="206" ht="15" customHeight="1" x14ac:dyDescent="0.35"/>
    <row r="207" ht="15" customHeight="1" x14ac:dyDescent="0.35"/>
    <row r="208" ht="15" customHeight="1" x14ac:dyDescent="0.35"/>
    <row r="209" ht="15" customHeight="1" x14ac:dyDescent="0.35"/>
    <row r="210" ht="15" customHeight="1" x14ac:dyDescent="0.35"/>
    <row r="211" ht="15" customHeight="1" x14ac:dyDescent="0.35"/>
    <row r="212" ht="15" customHeight="1" x14ac:dyDescent="0.35"/>
    <row r="213" ht="15" customHeight="1" x14ac:dyDescent="0.35"/>
    <row r="214" ht="15" customHeight="1" x14ac:dyDescent="0.35"/>
    <row r="215" ht="15" customHeight="1" x14ac:dyDescent="0.35"/>
    <row r="216" ht="15" customHeight="1" x14ac:dyDescent="0.35"/>
    <row r="217" ht="15" customHeight="1" x14ac:dyDescent="0.35"/>
    <row r="218" ht="15" customHeight="1" x14ac:dyDescent="0.35"/>
    <row r="219" ht="15" customHeight="1" x14ac:dyDescent="0.35"/>
    <row r="220" ht="15" customHeight="1" x14ac:dyDescent="0.35"/>
    <row r="221" ht="15" customHeight="1" x14ac:dyDescent="0.35"/>
    <row r="222" ht="15" customHeight="1" x14ac:dyDescent="0.35"/>
  </sheetData>
  <sheetProtection algorithmName="SHA-512" hashValue="qJizphF1/JiGeaqgLEg2AhOyp7eMjrI8gEqSCHalsvqIQGofYp2Eb5VTe06qdm+i+ER4WouU2ebZaXuPLR250w==" saltValue="6cwIbbRpJaTzt1RDRKzVGQ==" spinCount="100000" sheet="1" objects="1" scenarios="1" selectLockedCells="1"/>
  <mergeCells count="17">
    <mergeCell ref="AS7:AV7"/>
    <mergeCell ref="AX7:AY7"/>
    <mergeCell ref="BA7:BB7"/>
    <mergeCell ref="F13:Z13"/>
    <mergeCell ref="K2:M2"/>
    <mergeCell ref="Z2:AA3"/>
    <mergeCell ref="P3:Q3"/>
    <mergeCell ref="R3:S3"/>
    <mergeCell ref="K5:M5"/>
    <mergeCell ref="P5:R5"/>
    <mergeCell ref="T5:V5"/>
    <mergeCell ref="F31:AA31"/>
    <mergeCell ref="F48:AA48"/>
    <mergeCell ref="H49:AA49"/>
    <mergeCell ref="H50:AA51"/>
    <mergeCell ref="P6:R6"/>
    <mergeCell ref="T6:V8"/>
  </mergeCells>
  <phoneticPr fontId="42" type="noConversion"/>
  <conditionalFormatting sqref="I15:I29">
    <cfRule type="containsBlanks" priority="10" stopIfTrue="1">
      <formula>LEN(TRIM(I15))=0</formula>
    </cfRule>
    <cfRule type="cellIs" dxfId="20" priority="19" operator="lessThan">
      <formula>TODAY()</formula>
    </cfRule>
  </conditionalFormatting>
  <conditionalFormatting sqref="I33:I47">
    <cfRule type="containsBlanks" priority="20" stopIfTrue="1">
      <formula>LEN(TRIM(I33))=0</formula>
    </cfRule>
    <cfRule type="cellIs" dxfId="19" priority="33" operator="lessThan">
      <formula>TODAY()</formula>
    </cfRule>
  </conditionalFormatting>
  <conditionalFormatting sqref="P15:P29">
    <cfRule type="containsText" dxfId="18" priority="12" operator="containsText" text="No">
      <formula>NOT(ISERROR(SEARCH("No",P15)))</formula>
    </cfRule>
    <cfRule type="containsText" dxfId="17" priority="13" operator="containsText" text="Yes">
      <formula>NOT(ISERROR(SEARCH("Yes",P15)))</formula>
    </cfRule>
  </conditionalFormatting>
  <conditionalFormatting sqref="P33:P47">
    <cfRule type="containsText" dxfId="16" priority="23" operator="containsText" text="No">
      <formula>NOT(ISERROR(SEARCH("No",P33)))</formula>
    </cfRule>
    <cfRule type="containsText" dxfId="15" priority="24" operator="containsText" text="Yes">
      <formula>NOT(ISERROR(SEARCH("Yes",P33)))</formula>
    </cfRule>
  </conditionalFormatting>
  <conditionalFormatting sqref="T15:T29">
    <cfRule type="expression" dxfId="14" priority="16">
      <formula>AND($V15&lt;1,$T15&gt;0)</formula>
    </cfRule>
    <cfRule type="expression" dxfId="13" priority="17">
      <formula>AND($V15&gt;0,OR($T15&gt;$R15,$R15=""))</formula>
    </cfRule>
  </conditionalFormatting>
  <conditionalFormatting sqref="T33:T47">
    <cfRule type="expression" dxfId="11" priority="28">
      <formula>AND($V33&lt;1,$T33&gt;0)</formula>
    </cfRule>
    <cfRule type="expression" dxfId="10" priority="29">
      <formula>AND($V33&gt;0,$T33&lt;2500)</formula>
    </cfRule>
  </conditionalFormatting>
  <conditionalFormatting sqref="V1 V4:V5 V9:V48 X11 V52:V1048576">
    <cfRule type="expression" dxfId="9" priority="21">
      <formula>IF(COUNTIF(V:V,V1)&gt;1,TRUE,FALSE)</formula>
    </cfRule>
  </conditionalFormatting>
  <conditionalFormatting sqref="V5">
    <cfRule type="expression" dxfId="8" priority="9">
      <formula>IF(AND(#REF!=1,COUNTIF(T:T,V5)&gt;1),TRUE,FALSE)</formula>
    </cfRule>
  </conditionalFormatting>
  <conditionalFormatting sqref="V15:V29 V33:V47">
    <cfRule type="expression" dxfId="7" priority="32">
      <formula>IF(AND(C15=1,COUNTIF(T:T,V15)&gt;1),TRUE,FALSE)</formula>
    </cfRule>
  </conditionalFormatting>
  <conditionalFormatting sqref="X1 X8 V11 X11:X14 X30:X32 X48 X52:X1048576">
    <cfRule type="expression" dxfId="6" priority="31">
      <formula>IF(AND(A1=1,COUNTIF(V:V,V1)&gt;1),TRUE,FALSE)</formula>
    </cfRule>
  </conditionalFormatting>
  <conditionalFormatting sqref="Z15:Z29 Z33:Z47">
    <cfRule type="expression" dxfId="5" priority="15">
      <formula>AND($V15="",$Z15=0)</formula>
    </cfRule>
  </conditionalFormatting>
  <conditionalFormatting sqref="Z33:Z47 T33:T47">
    <cfRule type="expression" dxfId="4" priority="30">
      <formula>AND($V33&gt;0,OR($T33&gt;$R33,$R33=""))</formula>
    </cfRule>
  </conditionalFormatting>
  <conditionalFormatting sqref="AA4:AA7">
    <cfRule type="cellIs" dxfId="3" priority="25" operator="equal">
      <formula>0</formula>
    </cfRule>
  </conditionalFormatting>
  <conditionalFormatting sqref="AA15:AA29 AA33:AA47">
    <cfRule type="expression" dxfId="2" priority="14">
      <formula>$V15&lt;1</formula>
    </cfRule>
  </conditionalFormatting>
  <conditionalFormatting sqref="BD15:BH29">
    <cfRule type="expression" dxfId="1" priority="7">
      <formula>IF(FLOOR(BD15,100)=MIN($BD15:$BI15),TRUE,FALSE)</formula>
    </cfRule>
  </conditionalFormatting>
  <conditionalFormatting sqref="BD33:BH47">
    <cfRule type="expression" dxfId="0" priority="4">
      <formula>IF(FLOOR(BD33,100)=MIN($BD33:$BI33),TRUE,FALSE)</formula>
    </cfRule>
  </conditionalFormatting>
  <dataValidations xWindow="1188" yWindow="697" count="22">
    <dataValidation allowBlank="1" showInputMessage="1" showErrorMessage="1" prompt="Enter information in the columns below. Tell us the amount of capital raising for Further Advances; and/or which properties will be remortgaged with or without capital raising. Finally, specify the order the applications will be submitted in." sqref="T5:V5" xr:uid="{DA9F09E7-9AA5-45A3-8961-FDD7E4E26766}"/>
    <dataValidation allowBlank="1" showInputMessage="1" showErrorMessage="1" promptTitle="Product Stress Rate" prompt="Enter the product stress rate for an indicative view of potential borrowing and capital raising across the portfolio." sqref="P5:R5" xr:uid="{87E54127-69CF-45F3-BBDB-25D9C7B861DE}"/>
    <dataValidation allowBlank="1" showInputMessage="1" showErrorMessage="1" promptTitle="Portfolio equity available" prompt="Shows the maximum amount of capital that can be raised before the portfolio would exceed either: our maximum LTV, or our minimum ICR." sqref="T2" xr:uid="{36AE9DE5-B2D1-4B4E-8352-12BAF9FB64DF}"/>
    <dataValidation allowBlank="1" showInputMessage="1" showErrorMessage="1" promptTitle="Proposed TMW lending" prompt="Shows the total borrowing that the customer currently has with The Mortgage Works plus any capital raising selected." sqref="R2:S2" xr:uid="{E53ECF7D-D9E9-4AB4-B99A-7E55D89E3D91}"/>
    <dataValidation allowBlank="1" showInputMessage="1" showErrorMessage="1" promptTitle="Current TMW Lending" prompt="Shows the total borrowing the customer currently has with The Mortgage Works." sqref="P2:Q2" xr:uid="{CA78B446-516C-4176-B8E3-02875CB5355D}"/>
    <dataValidation allowBlank="1" showInputMessage="1" showErrorMessage="1" promptTitle="Aggregate Portfolio ICR" prompt="This is the ICR across the whole portfolio. Below shows the current ICR, the ICR including any selected capital raising and the minimum ICR allowed by our policy." sqref="K5:M5" xr:uid="{B835D878-E6F5-464B-82BD-13723F96CC5D}"/>
    <dataValidation allowBlank="1" showInputMessage="1" showErrorMessage="1" promptTitle="Aggregate Portfolio LTV" prompt="This is the LTV across the whole portfolio. Below shows the current LTV, the LTV including any selected capital raising and the maximum LTV allowed by our policy." sqref="K2:M2" xr:uid="{6F8E2C5F-9CF6-459F-839E-60C427277F12}"/>
    <dataValidation allowBlank="1" showInputMessage="1" showErrorMessage="1" promptTitle="Requested Loan to Value" prompt="The Loan to Value (LTV) based on the current mortgage balance plus additional capital raising." sqref="AA11" xr:uid="{046DA9FB-8F11-48EA-B120-F19A6EF29AD6}"/>
    <dataValidation allowBlank="1" showInputMessage="1" showErrorMessage="1" promptTitle="Requested total loan" prompt="The total loan amount based on the current mortgage balance plus additional capital raising." sqref="Z11" xr:uid="{6710E6D4-0E83-4ED0-9BF4-8B1DAF606B02}"/>
    <dataValidation allowBlank="1" showInputMessage="1" showErrorMessage="1" promptTitle="Capital Raising available" prompt="Maximum additional capital raising available at the selected stress rate, up to a maximum 75% LTV. For higher LTV lending, use the calculator on our website." sqref="R11" xr:uid="{48BF26E6-3C9F-4F8B-8B2C-D22E05ECC92E}"/>
    <dataValidation allowBlank="1" showInputMessage="1" showErrorMessage="1" promptTitle="Like for Like available" prompt="Indicates if a like for like remortgage is available at the selected product stress rate. " sqref="P11" xr:uid="{C6A58136-0FFD-4706-9A8A-C150630F761A}"/>
    <dataValidation allowBlank="1" showInputMessage="1" showErrorMessage="1" promptTitle="Current Loan to Value" prompt="The current Loan to Value (LTV) of the property." sqref="N11" xr:uid="{7CC6475A-CC40-457D-A6B6-C754BF6C3F32}"/>
    <dataValidation allowBlank="1" showInputMessage="1" showErrorMessage="1" promptTitle="Mortgage balance" prompt="The current mortgage balance for the property. You can update this on the portfolio schedule if needed." sqref="M11" xr:uid="{54D8AAE8-354E-46F4-8FC3-6D444B9F24E8}"/>
    <dataValidation allowBlank="1" showInputMessage="1" showErrorMessage="1" promptTitle="Current estimated valuation" prompt="The current estimated value of the property. You can update this on the portfolio schedule if needed." sqref="L11" xr:uid="{F8EA4F63-F9F2-4B2D-969C-EBFB386732BA}"/>
    <dataValidation allowBlank="1" showInputMessage="1" showErrorMessage="1" promptTitle="Monthly rental income" prompt="The gross monthly rental income for the property. You can update this on the portfolio schedule if needed." sqref="K11" xr:uid="{59DFE7C7-46C1-43A2-AF6F-8D98080D2B94}"/>
    <dataValidation allowBlank="1" showInputMessage="1" showErrorMessage="1" promptTitle="Address" prompt="Address of the security property." sqref="F11" xr:uid="{541ABE25-1668-4319-A67F-C48E164DE900}"/>
    <dataValidation allowBlank="1" showInputMessage="1" showErrorMessage="1" promptTitle="Exposure" prompt="Shows how much more borrowing can be taken at each LTV level, based on our exposure policy. " sqref="Z2:AA3" xr:uid="{77063040-43FE-4CE7-9DC7-8081C4891933}"/>
    <dataValidation allowBlank="1" showInputMessage="1" showErrorMessage="1" promptTitle="Stress Rate Required" prompt="Maximum stress rate to achieve the requested loan amount. If you choose a product with a higher stress rate, we may be unable to offer." sqref="X11" xr:uid="{EB2F55AB-27B4-40CD-A202-26D75A0DC065}"/>
    <dataValidation allowBlank="1" showInputMessage="1" showErrorMessage="1" promptTitle="Order of submission" prompt="Give the order you will submit each remortgage or further advance. _x000a_As the total borrowing increases, the maximum LTV of each application may decrease, based on our exposure policy." sqref="V11" xr:uid="{A3A8D7A3-71EA-4C5B-92FD-AA9C7933C6A5}"/>
    <dataValidation allowBlank="1" showInputMessage="1" showErrorMessage="1" promptTitle="Additional capital raising" prompt="Enter the amount of additional capital raising for each remortgage or further advance." sqref="T11" xr:uid="{68D63DD7-9944-4742-9C3E-C0098372ED57}"/>
    <dataValidation allowBlank="1" showInputMessage="1" showErrorMessage="1" promptTitle="Early Repayment Charge date" prompt="Enter the ERC expiry date to track the best time to remortgage the property." sqref="I11" xr:uid="{F649F17E-7D49-4ADA-AF7D-D90D12EDD55C}"/>
    <dataValidation type="whole" operator="greaterThan" allowBlank="1" showInputMessage="1" showErrorMessage="1" sqref="V15:V29 V33:V47" xr:uid="{76154CA4-BEFD-4B2B-A54D-3874166C4D65}">
      <formula1>0</formula1>
    </dataValidation>
  </dataValidations>
  <hyperlinks>
    <hyperlink ref="P6" r:id="rId1" location="stressRate" display="Click here to view" xr:uid="{66F9D876-D284-4068-855F-9C73C0C0A30B}"/>
    <hyperlink ref="P6:R6" r:id="rId2" location="stressRate" display="View Stress Rate policy" xr:uid="{C6C8FB70-6FF4-4351-A28A-D35D65939774}"/>
  </hyperlinks>
  <pageMargins left="0.70866141732283472" right="0.70866141732283472" top="0.74803149606299213" bottom="0.74803149606299213" header="0.31496062992125984" footer="0.31496062992125984"/>
  <pageSetup paperSize="9" scale="83" fitToWidth="0" orientation="landscape" r:id="rId3"/>
  <drawing r:id="rId4"/>
  <extLst>
    <ext xmlns:x14="http://schemas.microsoft.com/office/spreadsheetml/2009/9/main" uri="{78C0D931-6437-407d-A8EE-F0AAD7539E65}">
      <x14:conditionalFormattings>
        <x14:conditionalFormatting xmlns:xm="http://schemas.microsoft.com/office/excel/2006/main">
          <x14:cfRule type="expression" priority="18" id="{1735A375-3868-4A74-86B6-6BCBFB53C2DB}">
            <xm:f>AND($V15&gt;0,$Z15&lt;_xlfn.XLOOKUP($G15,Lookups!$A$2:$A$4,Lookups!$D$2:$D$4,0,0,1))</xm:f>
            <x14:dxf>
              <font>
                <b/>
                <i val="0"/>
                <color theme="0"/>
              </font>
              <fill>
                <patternFill>
                  <bgColor rgb="FFD83734"/>
                </patternFill>
              </fill>
            </x14:dxf>
          </x14:cfRule>
          <xm:sqref>T15:T29</xm:sqref>
        </x14:conditionalFormatting>
      </x14:conditionalFormattings>
    </ext>
    <ext xmlns:x14="http://schemas.microsoft.com/office/spreadsheetml/2009/9/main" uri="{CCE6A557-97BC-4b89-ADB6-D9C93CAAB3DF}">
      <x14:dataValidations xmlns:xm="http://schemas.microsoft.com/office/excel/2006/main" xWindow="1188" yWindow="697" count="1">
        <x14:dataValidation type="list" allowBlank="1" showInputMessage="1" showErrorMessage="1" xr:uid="{5DCB6C59-B9CD-494D-9DBF-D76ABCA47A78}">
          <x14:formula1>
            <xm:f>Lookups!#REF!</xm:f>
          </x14:formula1>
          <xm:sqref>X12 X14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3C295-5B6A-4A19-A40B-65005B8C73D0}">
  <sheetPr codeName="PilotToolCoverSheet">
    <tabColor rgb="FFFDF1E5"/>
  </sheetPr>
  <dimension ref="A1:F33"/>
  <sheetViews>
    <sheetView showGridLines="0" tabSelected="1" workbookViewId="0">
      <selection activeCell="D5" sqref="D5"/>
    </sheetView>
  </sheetViews>
  <sheetFormatPr defaultColWidth="0" defaultRowHeight="16.5" customHeight="1" zeroHeight="1" x14ac:dyDescent="0.35"/>
  <cols>
    <col min="1" max="1" width="3.7265625" customWidth="1"/>
    <col min="2" max="2" width="1.54296875" customWidth="1"/>
    <col min="3" max="3" width="37.1796875" customWidth="1"/>
    <col min="4" max="4" width="70.54296875" customWidth="1"/>
    <col min="5" max="5" width="1.54296875" customWidth="1"/>
    <col min="6" max="6" width="3.7265625" customWidth="1"/>
    <col min="7" max="16384" width="9.1796875" hidden="1"/>
  </cols>
  <sheetData>
    <row r="1" spans="1:6" ht="15" customHeight="1" x14ac:dyDescent="0.35">
      <c r="A1" s="4"/>
      <c r="B1" s="4"/>
      <c r="C1" s="134"/>
      <c r="D1" s="4"/>
      <c r="E1" s="4"/>
      <c r="F1" s="4"/>
    </row>
    <row r="2" spans="1:6" ht="14.25" customHeight="1" x14ac:dyDescent="0.35">
      <c r="A2" s="4"/>
      <c r="B2" s="4"/>
      <c r="C2" s="4"/>
      <c r="D2" s="4"/>
      <c r="E2" s="4"/>
      <c r="F2" s="4"/>
    </row>
    <row r="3" spans="1:6" ht="32.5" x14ac:dyDescent="0.35">
      <c r="A3" s="4"/>
      <c r="B3" s="4"/>
      <c r="C3" s="135"/>
      <c r="D3" s="135" t="s">
        <v>153</v>
      </c>
      <c r="E3" s="4"/>
      <c r="F3" s="4"/>
    </row>
    <row r="4" spans="1:6" ht="44.5" customHeight="1" x14ac:dyDescent="0.55000000000000004">
      <c r="A4" s="4"/>
      <c r="B4" s="4"/>
      <c r="C4" s="136"/>
      <c r="D4" s="137" t="s">
        <v>274</v>
      </c>
      <c r="E4" s="4"/>
      <c r="F4" s="4"/>
    </row>
    <row r="5" spans="1:6" ht="50.15" customHeight="1" x14ac:dyDescent="0.55000000000000004">
      <c r="A5" s="4"/>
      <c r="B5" s="4"/>
      <c r="C5" s="136"/>
      <c r="D5" s="129" t="s">
        <v>275</v>
      </c>
      <c r="E5" s="4"/>
      <c r="F5" s="4"/>
    </row>
    <row r="6" spans="1:6" ht="18" customHeight="1" x14ac:dyDescent="0.55000000000000004">
      <c r="A6" s="4"/>
      <c r="B6" s="138" t="s">
        <v>276</v>
      </c>
      <c r="C6" s="136"/>
      <c r="D6" s="139"/>
      <c r="E6" s="4"/>
      <c r="F6" s="4"/>
    </row>
    <row r="7" spans="1:6" ht="14.5" customHeight="1" x14ac:dyDescent="0.35">
      <c r="A7" s="4"/>
      <c r="B7" s="4"/>
      <c r="C7" s="4"/>
      <c r="D7" s="4"/>
      <c r="E7" s="4"/>
      <c r="F7" s="4"/>
    </row>
    <row r="8" spans="1:6" ht="21.65" customHeight="1" x14ac:dyDescent="0.35">
      <c r="A8" s="4"/>
      <c r="B8" s="140"/>
      <c r="C8" s="141" t="s">
        <v>277</v>
      </c>
      <c r="D8" s="142"/>
      <c r="E8" s="143"/>
      <c r="F8" s="4"/>
    </row>
    <row r="9" spans="1:6" ht="114.65" customHeight="1" x14ac:dyDescent="0.35">
      <c r="A9" s="4"/>
      <c r="B9" s="144"/>
      <c r="C9" s="130" t="s">
        <v>278</v>
      </c>
      <c r="D9" s="145" t="s">
        <v>279</v>
      </c>
      <c r="E9" s="146"/>
      <c r="F9" s="4"/>
    </row>
    <row r="10" spans="1:6" ht="6" customHeight="1" x14ac:dyDescent="0.35">
      <c r="A10" s="4"/>
      <c r="B10" s="147"/>
      <c r="C10" s="148"/>
      <c r="D10" s="149"/>
      <c r="E10" s="150"/>
      <c r="F10" s="4"/>
    </row>
    <row r="11" spans="1:6" ht="14.5" x14ac:dyDescent="0.35">
      <c r="A11" s="4"/>
      <c r="B11" s="4"/>
      <c r="C11" s="30"/>
      <c r="D11" s="4"/>
      <c r="E11" s="4"/>
      <c r="F11" s="4"/>
    </row>
    <row r="12" spans="1:6" ht="21.65" customHeight="1" x14ac:dyDescent="0.35">
      <c r="A12" s="4"/>
      <c r="B12" s="151"/>
      <c r="C12" s="152" t="s">
        <v>280</v>
      </c>
      <c r="D12" s="142"/>
      <c r="E12" s="143"/>
      <c r="F12" s="4"/>
    </row>
    <row r="13" spans="1:6" ht="94" customHeight="1" x14ac:dyDescent="0.35">
      <c r="A13" s="4"/>
      <c r="B13" s="153"/>
      <c r="C13" s="130" t="s">
        <v>281</v>
      </c>
      <c r="D13" s="145" t="s">
        <v>282</v>
      </c>
      <c r="E13" s="146"/>
      <c r="F13" s="4"/>
    </row>
    <row r="14" spans="1:6" ht="14.15" customHeight="1" x14ac:dyDescent="0.35">
      <c r="A14" s="4"/>
      <c r="B14" s="153"/>
      <c r="C14" s="154"/>
      <c r="D14" s="105" t="s">
        <v>154</v>
      </c>
      <c r="E14" s="146"/>
      <c r="F14" s="4"/>
    </row>
    <row r="15" spans="1:6" ht="6" customHeight="1" x14ac:dyDescent="0.35">
      <c r="A15" s="4"/>
      <c r="B15" s="147"/>
      <c r="C15" s="149"/>
      <c r="D15" s="149"/>
      <c r="E15" s="150"/>
      <c r="F15" s="4"/>
    </row>
    <row r="16" spans="1:6" ht="14.25" customHeight="1" x14ac:dyDescent="0.35">
      <c r="A16" s="4"/>
      <c r="B16" s="4"/>
      <c r="C16" s="30"/>
      <c r="D16" s="4"/>
      <c r="E16" s="4"/>
      <c r="F16" s="4"/>
    </row>
    <row r="17" spans="1:6" ht="22" customHeight="1" x14ac:dyDescent="0.35">
      <c r="A17" s="4"/>
      <c r="B17" s="155"/>
      <c r="C17" s="156" t="s">
        <v>155</v>
      </c>
      <c r="D17" s="157"/>
      <c r="E17" s="158"/>
      <c r="F17" s="4"/>
    </row>
    <row r="18" spans="1:6" ht="149.25" customHeight="1" x14ac:dyDescent="0.35">
      <c r="A18" s="4"/>
      <c r="B18" s="159"/>
      <c r="C18" s="206" t="s">
        <v>283</v>
      </c>
      <c r="D18" s="206"/>
      <c r="E18" s="160"/>
      <c r="F18" s="4"/>
    </row>
    <row r="19" spans="1:6" ht="14.5" x14ac:dyDescent="0.35">
      <c r="A19" s="4"/>
      <c r="B19" s="4"/>
      <c r="C19" s="4"/>
      <c r="D19" s="4"/>
      <c r="E19" s="4"/>
      <c r="F19" s="4"/>
    </row>
    <row r="20" spans="1:6" ht="14.5" hidden="1" x14ac:dyDescent="0.35">
      <c r="A20" s="4"/>
      <c r="B20" s="4"/>
      <c r="C20" s="4"/>
      <c r="D20" s="4"/>
      <c r="E20" s="4"/>
      <c r="F20" s="4"/>
    </row>
    <row r="21" spans="1:6" ht="14.5" hidden="1" x14ac:dyDescent="0.35">
      <c r="A21" s="4"/>
      <c r="B21" s="4"/>
      <c r="C21" s="4"/>
      <c r="D21" s="4"/>
      <c r="E21" s="4"/>
      <c r="F21" s="4"/>
    </row>
    <row r="22" spans="1:6" ht="14.5" hidden="1" x14ac:dyDescent="0.35">
      <c r="A22" s="4"/>
      <c r="B22" s="4"/>
      <c r="C22" s="4"/>
      <c r="D22" s="4"/>
      <c r="E22" s="4"/>
      <c r="F22" s="4"/>
    </row>
    <row r="23" spans="1:6" ht="14.5" hidden="1" x14ac:dyDescent="0.35">
      <c r="A23" s="4"/>
      <c r="B23" s="4"/>
      <c r="C23" s="4"/>
      <c r="D23" s="4"/>
      <c r="E23" s="4"/>
      <c r="F23" s="4"/>
    </row>
    <row r="24" spans="1:6" ht="14.5" hidden="1" x14ac:dyDescent="0.35">
      <c r="A24" s="4"/>
      <c r="B24" s="4"/>
      <c r="C24" s="4"/>
      <c r="D24" s="4"/>
      <c r="E24" s="4"/>
      <c r="F24" s="4"/>
    </row>
    <row r="25" spans="1:6" ht="14.5" hidden="1" x14ac:dyDescent="0.35">
      <c r="A25" s="4"/>
      <c r="B25" s="4"/>
      <c r="C25" s="4"/>
      <c r="D25" s="4"/>
      <c r="E25" s="4"/>
      <c r="F25" s="4"/>
    </row>
    <row r="26" spans="1:6" ht="14.5" hidden="1" x14ac:dyDescent="0.35">
      <c r="A26" s="4"/>
      <c r="B26" s="4"/>
      <c r="C26" s="4"/>
      <c r="D26" s="4"/>
      <c r="E26" s="4"/>
      <c r="F26" s="4"/>
    </row>
    <row r="27" spans="1:6" ht="14.5" hidden="1" x14ac:dyDescent="0.35">
      <c r="A27" s="4"/>
      <c r="B27" s="4"/>
      <c r="C27" s="4"/>
      <c r="D27" s="4"/>
      <c r="E27" s="4"/>
      <c r="F27" s="4"/>
    </row>
    <row r="28" spans="1:6" ht="14.5" hidden="1" x14ac:dyDescent="0.35">
      <c r="A28" s="4"/>
      <c r="B28" s="4"/>
      <c r="C28" s="4"/>
      <c r="D28" s="4"/>
      <c r="E28" s="4"/>
      <c r="F28" s="4"/>
    </row>
    <row r="29" spans="1:6" ht="14.5" hidden="1" x14ac:dyDescent="0.35">
      <c r="A29" s="4"/>
      <c r="B29" s="4"/>
      <c r="C29" s="4"/>
      <c r="D29" s="4"/>
      <c r="E29" s="4"/>
      <c r="F29" s="4"/>
    </row>
    <row r="30" spans="1:6" ht="14.5" hidden="1" x14ac:dyDescent="0.35">
      <c r="A30" s="4"/>
      <c r="B30" s="4"/>
      <c r="C30" s="4"/>
      <c r="D30" s="4"/>
      <c r="E30" s="4"/>
      <c r="F30" s="4"/>
    </row>
    <row r="31" spans="1:6" ht="14.5" hidden="1" x14ac:dyDescent="0.35">
      <c r="A31" s="4"/>
      <c r="B31" s="4"/>
      <c r="C31" s="4"/>
      <c r="D31" s="4"/>
      <c r="E31" s="4"/>
      <c r="F31" s="4"/>
    </row>
    <row r="32" spans="1:6" ht="14.5" hidden="1" x14ac:dyDescent="0.35">
      <c r="A32" s="4"/>
      <c r="B32" s="4"/>
      <c r="C32" s="4"/>
      <c r="D32" s="4"/>
      <c r="E32" s="4"/>
      <c r="F32" s="4"/>
    </row>
    <row r="33" spans="1:6" ht="14.5" hidden="1" x14ac:dyDescent="0.35">
      <c r="A33" s="4"/>
      <c r="B33" s="4"/>
      <c r="C33" s="4"/>
      <c r="D33" s="4"/>
      <c r="E33" s="4"/>
      <c r="F33" s="4"/>
    </row>
  </sheetData>
  <sheetProtection algorithmName="SHA-512" hashValue="yBC+yMXIYEsNxPfQTWdl3OFjxJvifUZvN3CSY88V5tFgQCgThJu54QD35fEKEUEA6X4/IjBuYvDvBLInvp2E6Q==" saltValue="G2xhPQccG20MyHxXcLFx6Q==" spinCount="100000" sheet="1" objects="1" scenarios="1"/>
  <mergeCells count="1">
    <mergeCell ref="C18:D18"/>
  </mergeCells>
  <hyperlinks>
    <hyperlink ref="D14" r:id="rId1" xr:uid="{9E9F4F62-D45F-43AB-9072-5080C92D3109}"/>
    <hyperlink ref="C13" location="'Portfolio Review'!A1" display="Go to the Portfolio Review" xr:uid="{47055E3D-9659-48A7-9723-8C64EE50CD27}"/>
    <hyperlink ref="C9" location="'Portfolio Schedule'!A1" display="Go to the Property Schedule" xr:uid="{7FD092F5-AE4F-4F3D-B3DE-0ED04BA37EC0}"/>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9CC94-F349-49CD-8A05-E2C17CDA91EC}">
  <sheetPr codeName="PilotLookupsSheet">
    <tabColor rgb="FFED7700"/>
  </sheetPr>
  <dimension ref="A1:AA39"/>
  <sheetViews>
    <sheetView showGridLines="0" workbookViewId="0"/>
  </sheetViews>
  <sheetFormatPr defaultColWidth="0" defaultRowHeight="14" x14ac:dyDescent="0.3"/>
  <cols>
    <col min="1" max="1" width="35.26953125" style="4" bestFit="1" customWidth="1"/>
    <col min="2" max="2" width="19.1796875" style="4" customWidth="1"/>
    <col min="3" max="3" width="15.453125" style="4" customWidth="1"/>
    <col min="4" max="4" width="27.453125" style="4" customWidth="1"/>
    <col min="5" max="5" width="11.26953125" style="4" bestFit="1" customWidth="1"/>
    <col min="6" max="6" width="9.1796875" style="4" customWidth="1"/>
    <col min="7" max="8" width="9.26953125" style="4" bestFit="1" customWidth="1"/>
    <col min="9" max="9" width="11.7265625" style="4" customWidth="1"/>
    <col min="10" max="11" width="9.1796875" style="4" customWidth="1"/>
    <col min="12" max="12" width="38.54296875" style="4" bestFit="1" customWidth="1"/>
    <col min="13" max="14" width="9.1796875" style="4" customWidth="1"/>
    <col min="15" max="15" width="25.54296875" style="4" customWidth="1"/>
    <col min="16" max="16" width="29.1796875" style="4" customWidth="1"/>
    <col min="17" max="17" width="199.81640625" style="4" customWidth="1"/>
    <col min="18" max="27" width="9.1796875" style="4" customWidth="1"/>
    <col min="28" max="16384" width="9.1796875" style="4" hidden="1"/>
  </cols>
  <sheetData>
    <row r="1" spans="1:17" ht="14.5" x14ac:dyDescent="0.3">
      <c r="A1" s="106" t="s">
        <v>156</v>
      </c>
      <c r="C1" s="106" t="s">
        <v>157</v>
      </c>
      <c r="D1" s="106" t="s">
        <v>158</v>
      </c>
      <c r="G1" s="106" t="s">
        <v>159</v>
      </c>
      <c r="L1" s="107" t="s">
        <v>160</v>
      </c>
      <c r="M1" s="107">
        <f>COUNTA(L:L) - 1</f>
        <v>27</v>
      </c>
      <c r="O1" s="108" t="s">
        <v>161</v>
      </c>
      <c r="P1" s="109"/>
      <c r="Q1" s="109"/>
    </row>
    <row r="2" spans="1:17" ht="14.5" x14ac:dyDescent="0.3">
      <c r="A2" s="110" t="s">
        <v>162</v>
      </c>
      <c r="B2" s="111">
        <v>1.6</v>
      </c>
      <c r="C2" s="112">
        <v>50000</v>
      </c>
      <c r="D2" s="112">
        <v>25001</v>
      </c>
      <c r="G2" s="113" t="s">
        <v>163</v>
      </c>
      <c r="H2" s="114">
        <f>SUMIF('Portfolio Review'!$B$1:$B$528,"T",'Portfolio Review'!$R$1:$R$528)</f>
        <v>0</v>
      </c>
      <c r="L2" s="4" t="s">
        <v>164</v>
      </c>
      <c r="O2" s="115" t="s">
        <v>165</v>
      </c>
      <c r="P2" s="116" t="s">
        <v>166</v>
      </c>
      <c r="Q2" s="116" t="s">
        <v>167</v>
      </c>
    </row>
    <row r="3" spans="1:17" ht="14.5" x14ac:dyDescent="0.3">
      <c r="A3" s="107" t="s">
        <v>168</v>
      </c>
      <c r="B3" s="111">
        <v>1.25</v>
      </c>
      <c r="C3" s="112">
        <v>50000</v>
      </c>
      <c r="D3" s="112">
        <v>25001</v>
      </c>
      <c r="G3" s="113" t="s">
        <v>169</v>
      </c>
      <c r="H3" s="114">
        <f>SUMIF('Portfolio Review'!$B$1:$B$528,"E",'Portfolio Review'!$R$1:$R$528)</f>
        <v>0</v>
      </c>
      <c r="L3" s="4" t="s">
        <v>170</v>
      </c>
      <c r="O3" s="117" t="s">
        <v>171</v>
      </c>
      <c r="P3" s="118" t="s">
        <v>172</v>
      </c>
      <c r="Q3" s="119" t="s">
        <v>173</v>
      </c>
    </row>
    <row r="4" spans="1:17" ht="14.5" x14ac:dyDescent="0.3">
      <c r="A4" s="107" t="s">
        <v>174</v>
      </c>
      <c r="B4" s="111">
        <v>1.75</v>
      </c>
      <c r="C4" s="112">
        <v>100000</v>
      </c>
      <c r="D4" s="112">
        <v>25001</v>
      </c>
      <c r="L4" s="4" t="s">
        <v>175</v>
      </c>
      <c r="O4" s="117" t="s">
        <v>176</v>
      </c>
      <c r="P4" s="118" t="s">
        <v>177</v>
      </c>
      <c r="Q4" s="119" t="s">
        <v>178</v>
      </c>
    </row>
    <row r="5" spans="1:17" ht="29" x14ac:dyDescent="0.3">
      <c r="A5" s="107" t="s">
        <v>179</v>
      </c>
      <c r="B5" s="111">
        <v>1.25</v>
      </c>
      <c r="C5" s="112">
        <v>50000</v>
      </c>
      <c r="D5" s="112">
        <v>25001</v>
      </c>
      <c r="L5" s="4" t="s">
        <v>180</v>
      </c>
      <c r="O5" s="117" t="s">
        <v>181</v>
      </c>
      <c r="P5" s="118" t="s">
        <v>182</v>
      </c>
      <c r="Q5" s="119" t="s">
        <v>183</v>
      </c>
    </row>
    <row r="6" spans="1:17" ht="29" x14ac:dyDescent="0.3">
      <c r="A6" s="106" t="s">
        <v>184</v>
      </c>
      <c r="L6" s="4" t="s">
        <v>185</v>
      </c>
      <c r="O6" s="117" t="s">
        <v>186</v>
      </c>
      <c r="P6" s="118" t="s">
        <v>187</v>
      </c>
      <c r="Q6" s="119" t="s">
        <v>188</v>
      </c>
    </row>
    <row r="7" spans="1:17" ht="14.5" x14ac:dyDescent="0.3">
      <c r="A7" s="107" t="s">
        <v>189</v>
      </c>
      <c r="B7" s="120">
        <f>ROUNDDOWN(Port_Rent*12/I8/1.45,0)</f>
        <v>0</v>
      </c>
      <c r="D7" s="107" t="s">
        <v>190</v>
      </c>
      <c r="E7" s="120">
        <f>Port_Val*H8</f>
        <v>0</v>
      </c>
      <c r="G7" s="107" t="s">
        <v>191</v>
      </c>
      <c r="H7" s="107" t="s">
        <v>192</v>
      </c>
      <c r="I7" s="107" t="s">
        <v>74</v>
      </c>
      <c r="L7" s="4" t="s">
        <v>193</v>
      </c>
      <c r="O7" s="117" t="s">
        <v>194</v>
      </c>
      <c r="P7" s="118" t="s">
        <v>195</v>
      </c>
      <c r="Q7" s="119" t="s">
        <v>196</v>
      </c>
    </row>
    <row r="8" spans="1:17" ht="14.5" x14ac:dyDescent="0.3">
      <c r="A8" s="107" t="s">
        <v>197</v>
      </c>
      <c r="B8" s="120">
        <f>ROUNDDOWN(Port_Rent*12/I9/1.45,0)</f>
        <v>0</v>
      </c>
      <c r="D8" s="107" t="s">
        <v>198</v>
      </c>
      <c r="E8" s="120">
        <f>Port_Val*H9</f>
        <v>0</v>
      </c>
      <c r="G8" s="121">
        <v>1</v>
      </c>
      <c r="H8" s="122">
        <v>0.75</v>
      </c>
      <c r="I8" s="123">
        <v>4.7500000000000001E-2</v>
      </c>
      <c r="L8" s="4" t="s">
        <v>199</v>
      </c>
      <c r="O8" s="117" t="s">
        <v>200</v>
      </c>
      <c r="P8" s="118" t="s">
        <v>195</v>
      </c>
      <c r="Q8" s="119" t="s">
        <v>201</v>
      </c>
    </row>
    <row r="9" spans="1:17" ht="14.5" x14ac:dyDescent="0.3">
      <c r="A9" s="107"/>
      <c r="B9" s="120"/>
      <c r="G9" s="121">
        <v>2</v>
      </c>
      <c r="H9" s="122">
        <v>0.75</v>
      </c>
      <c r="I9" s="123">
        <v>4.7500000000000001E-2</v>
      </c>
      <c r="L9" s="4" t="s">
        <v>202</v>
      </c>
      <c r="O9" s="117" t="s">
        <v>203</v>
      </c>
      <c r="P9" s="118" t="s">
        <v>204</v>
      </c>
      <c r="Q9" s="119" t="s">
        <v>205</v>
      </c>
    </row>
    <row r="10" spans="1:17" ht="14.5" x14ac:dyDescent="0.3">
      <c r="A10" s="107" t="s">
        <v>206</v>
      </c>
      <c r="B10" s="120">
        <f>MIN(B7,E7)</f>
        <v>0</v>
      </c>
      <c r="D10" s="107" t="s">
        <v>207</v>
      </c>
      <c r="E10" s="121" cm="1">
        <f t="array" ref="E10">IF(OR(SUMPRODUCT(WithTMWArray,MortgageArray)+SUMPRODUCT(WithTMWArray,CapRaiseArray,--(OrderOfSubArray&gt;0))&gt;1000000,Port_Count&gt;10,Port_Bal&gt;5000000),2,1)</f>
        <v>1</v>
      </c>
      <c r="L10" s="4" t="s">
        <v>208</v>
      </c>
      <c r="O10" s="117" t="s">
        <v>209</v>
      </c>
      <c r="P10" s="118" t="s">
        <v>210</v>
      </c>
      <c r="Q10" s="119" t="s">
        <v>211</v>
      </c>
    </row>
    <row r="11" spans="1:17" ht="14.5" x14ac:dyDescent="0.3">
      <c r="A11" s="107" t="s">
        <v>212</v>
      </c>
      <c r="B11" s="120">
        <f>MIN(B8,E8)</f>
        <v>0</v>
      </c>
      <c r="D11" s="107" t="s">
        <v>213</v>
      </c>
      <c r="E11" s="124">
        <f>VLOOKUP(E10,Tier_Figs,2,FALSE)</f>
        <v>0.75</v>
      </c>
      <c r="L11" s="4" t="s">
        <v>214</v>
      </c>
      <c r="O11" s="117" t="s">
        <v>215</v>
      </c>
      <c r="P11" s="118" t="s">
        <v>216</v>
      </c>
      <c r="Q11" s="119" t="s">
        <v>217</v>
      </c>
    </row>
    <row r="12" spans="1:17" ht="5.15" customHeight="1" x14ac:dyDescent="0.3">
      <c r="A12" s="107"/>
      <c r="B12" s="120"/>
      <c r="D12" s="107" t="s">
        <v>218</v>
      </c>
      <c r="E12" s="125">
        <f>VLOOKUP(E10,Tier_Figs,3,FALSE)</f>
        <v>4.7500000000000001E-2</v>
      </c>
      <c r="L12" s="4" t="s">
        <v>219</v>
      </c>
      <c r="O12" s="117" t="s">
        <v>220</v>
      </c>
      <c r="P12" s="118" t="s">
        <v>221</v>
      </c>
      <c r="Q12" s="119" t="s">
        <v>222</v>
      </c>
    </row>
    <row r="13" spans="1:17" ht="5.15" customHeight="1" x14ac:dyDescent="0.3">
      <c r="A13" s="107" t="s">
        <v>223</v>
      </c>
      <c r="B13" s="120">
        <f>B10-Port_Bal</f>
        <v>0</v>
      </c>
      <c r="L13" s="4" t="s">
        <v>224</v>
      </c>
      <c r="O13" s="117" t="s">
        <v>225</v>
      </c>
      <c r="P13" s="118" t="s">
        <v>226</v>
      </c>
      <c r="Q13" s="119" t="s">
        <v>227</v>
      </c>
    </row>
    <row r="14" spans="1:17" x14ac:dyDescent="0.3">
      <c r="A14" s="107" t="s">
        <v>228</v>
      </c>
      <c r="B14" s="120">
        <f>B11-Port_Bal</f>
        <v>0</v>
      </c>
      <c r="D14" s="107" t="s">
        <v>229</v>
      </c>
      <c r="E14" s="124">
        <v>1.45</v>
      </c>
      <c r="L14" s="4" t="s">
        <v>230</v>
      </c>
    </row>
    <row r="15" spans="1:17" x14ac:dyDescent="0.3">
      <c r="A15" s="107"/>
      <c r="B15" s="120"/>
      <c r="D15" s="107" t="s">
        <v>231</v>
      </c>
      <c r="E15" s="125">
        <v>4.4999999999999998E-2</v>
      </c>
      <c r="L15" s="4" t="s">
        <v>232</v>
      </c>
    </row>
    <row r="16" spans="1:17" x14ac:dyDescent="0.3">
      <c r="A16" s="107" t="s">
        <v>233</v>
      </c>
      <c r="B16" s="120">
        <f>1000000-'Portfolio Review'!$R$3</f>
        <v>1000000</v>
      </c>
      <c r="D16" s="107" t="s">
        <v>234</v>
      </c>
      <c r="E16" s="124">
        <v>0.75</v>
      </c>
      <c r="L16" s="4" t="s">
        <v>235</v>
      </c>
    </row>
    <row r="17" spans="1:12" x14ac:dyDescent="0.3">
      <c r="A17" s="107"/>
      <c r="B17" s="120"/>
      <c r="D17" s="107" t="s">
        <v>236</v>
      </c>
      <c r="E17" s="125">
        <v>4.4999999999999998E-2</v>
      </c>
      <c r="L17" s="4" t="s">
        <v>237</v>
      </c>
    </row>
    <row r="18" spans="1:12" x14ac:dyDescent="0.3">
      <c r="A18" s="107" t="s">
        <v>238</v>
      </c>
      <c r="B18" s="120">
        <f>IF(OR(E10=2,B14&gt;B16),B14,MIN(B13,B16))</f>
        <v>0</v>
      </c>
      <c r="D18" s="107" t="s">
        <v>239</v>
      </c>
      <c r="E18" s="125"/>
      <c r="L18" s="4" t="s">
        <v>240</v>
      </c>
    </row>
    <row r="19" spans="1:12" x14ac:dyDescent="0.3">
      <c r="L19" s="4" t="s">
        <v>241</v>
      </c>
    </row>
    <row r="20" spans="1:12" x14ac:dyDescent="0.3">
      <c r="A20" s="106" t="s">
        <v>242</v>
      </c>
      <c r="B20" s="106" t="s">
        <v>243</v>
      </c>
      <c r="C20" s="106" t="s">
        <v>244</v>
      </c>
      <c r="D20" s="106"/>
      <c r="L20" s="4" t="s">
        <v>245</v>
      </c>
    </row>
    <row r="21" spans="1:12" x14ac:dyDescent="0.3">
      <c r="A21" s="126" t="s">
        <v>39</v>
      </c>
      <c r="B21" s="113" t="s">
        <v>30</v>
      </c>
      <c r="C21" s="113" t="s">
        <v>246</v>
      </c>
      <c r="L21" s="4" t="s">
        <v>247</v>
      </c>
    </row>
    <row r="22" spans="1:12" x14ac:dyDescent="0.3">
      <c r="A22" s="126" t="s">
        <v>31</v>
      </c>
      <c r="B22" s="113" t="s">
        <v>40</v>
      </c>
      <c r="C22" s="113" t="s">
        <v>34</v>
      </c>
      <c r="L22" s="4" t="s">
        <v>248</v>
      </c>
    </row>
    <row r="23" spans="1:12" x14ac:dyDescent="0.3">
      <c r="A23" s="126" t="s">
        <v>37</v>
      </c>
      <c r="B23" s="113" t="s">
        <v>41</v>
      </c>
      <c r="L23" s="4" t="s">
        <v>249</v>
      </c>
    </row>
    <row r="24" spans="1:12" x14ac:dyDescent="0.3">
      <c r="A24" s="126" t="s">
        <v>36</v>
      </c>
      <c r="B24" s="113" t="s">
        <v>42</v>
      </c>
      <c r="L24" s="4" t="s">
        <v>250</v>
      </c>
    </row>
    <row r="25" spans="1:12" x14ac:dyDescent="0.3">
      <c r="A25" s="126" t="s">
        <v>251</v>
      </c>
      <c r="B25" s="113" t="s">
        <v>179</v>
      </c>
      <c r="L25" s="4" t="s">
        <v>252</v>
      </c>
    </row>
    <row r="26" spans="1:12" x14ac:dyDescent="0.3">
      <c r="A26" s="126" t="s">
        <v>253</v>
      </c>
      <c r="B26" s="113" t="s">
        <v>254</v>
      </c>
      <c r="L26" s="4" t="s">
        <v>255</v>
      </c>
    </row>
    <row r="27" spans="1:12" x14ac:dyDescent="0.3">
      <c r="A27" s="126" t="s">
        <v>256</v>
      </c>
      <c r="B27" s="113" t="s">
        <v>257</v>
      </c>
      <c r="L27" s="4" t="s">
        <v>258</v>
      </c>
    </row>
    <row r="28" spans="1:12" x14ac:dyDescent="0.3">
      <c r="A28" s="126" t="s">
        <v>259</v>
      </c>
      <c r="B28" s="113" t="s">
        <v>260</v>
      </c>
      <c r="L28" s="4" t="s">
        <v>261</v>
      </c>
    </row>
    <row r="29" spans="1:12" hidden="1" x14ac:dyDescent="0.3">
      <c r="A29" s="126" t="s">
        <v>38</v>
      </c>
      <c r="B29" s="113" t="s">
        <v>262</v>
      </c>
    </row>
    <row r="30" spans="1:12" hidden="1" x14ac:dyDescent="0.3">
      <c r="A30" s="126" t="s">
        <v>35</v>
      </c>
      <c r="B30" s="113" t="s">
        <v>263</v>
      </c>
    </row>
    <row r="31" spans="1:12" hidden="1" x14ac:dyDescent="0.3">
      <c r="A31" s="126" t="s">
        <v>264</v>
      </c>
      <c r="B31" s="113" t="s">
        <v>265</v>
      </c>
    </row>
    <row r="32" spans="1:12" x14ac:dyDescent="0.3">
      <c r="B32" s="113" t="s">
        <v>266</v>
      </c>
    </row>
    <row r="33" spans="1:2" x14ac:dyDescent="0.3">
      <c r="B33" s="113" t="s">
        <v>267</v>
      </c>
    </row>
    <row r="34" spans="1:2" x14ac:dyDescent="0.3">
      <c r="B34" s="113" t="s">
        <v>268</v>
      </c>
    </row>
    <row r="35" spans="1:2" x14ac:dyDescent="0.3">
      <c r="B35" s="113" t="s">
        <v>269</v>
      </c>
    </row>
    <row r="36" spans="1:2" x14ac:dyDescent="0.3">
      <c r="B36" s="113" t="s">
        <v>270</v>
      </c>
    </row>
    <row r="38" spans="1:2" x14ac:dyDescent="0.3">
      <c r="A38" s="127" t="s">
        <v>271</v>
      </c>
      <c r="B38" s="114">
        <f>SUM(SUMIFS(MortgageArray,OriginalLenderArray,"E",WithinCriteriaArray,"Yes"),B18)</f>
        <v>0</v>
      </c>
    </row>
    <row r="39" spans="1:2" x14ac:dyDescent="0.3">
      <c r="A39" s="127" t="s">
        <v>272</v>
      </c>
      <c r="B39" s="113">
        <f>COUNTIFS(OriginalLenderArray,"E",WithinCriteriaArray,"Yes")</f>
        <v>0</v>
      </c>
    </row>
  </sheetData>
  <sheetProtection algorithmName="SHA-512" hashValue="qSFWsAF6sSqTK07WUWfdMq+wEBwcz+G1qVuc4U1DeCsu62rYzpTFdnh1Z5FFRH8af56mpajn9OxtRQeczq99vA==" saltValue="DgX7/XiTUg4/qY/RNY/Qyw==" spinCount="100000"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43</vt:i4>
      </vt:variant>
    </vt:vector>
  </HeadingPairs>
  <TitlesOfParts>
    <vt:vector size="47" baseType="lpstr">
      <vt:lpstr>Portfolio Schedule</vt:lpstr>
      <vt:lpstr>Portfolio Review</vt:lpstr>
      <vt:lpstr>Introduction</vt:lpstr>
      <vt:lpstr>Lookups</vt:lpstr>
      <vt:lpstr>ACR_Anchor</vt:lpstr>
      <vt:lpstr>AddressArray</vt:lpstr>
      <vt:lpstr>CapRaiseArray</vt:lpstr>
      <vt:lpstr>CoverSheetApplicantName</vt:lpstr>
      <vt:lpstr>CoverSheetCapitalRaising</vt:lpstr>
      <vt:lpstr>CurrentEstimatedValuationArray</vt:lpstr>
      <vt:lpstr>DefaultFAStressRate</vt:lpstr>
      <vt:lpstr>DefaultProductStressRate</vt:lpstr>
      <vt:lpstr>ERC_Anchor</vt:lpstr>
      <vt:lpstr>Min_ICR</vt:lpstr>
      <vt:lpstr>MonthlyRentalArray</vt:lpstr>
      <vt:lpstr>MortgageArray</vt:lpstr>
      <vt:lpstr>MortgageBalanceArray</vt:lpstr>
      <vt:lpstr>OOS_Anchor</vt:lpstr>
      <vt:lpstr>OrderOfSubArray</vt:lpstr>
      <vt:lpstr>OriginalLenderArray</vt:lpstr>
      <vt:lpstr>OtherStart</vt:lpstr>
      <vt:lpstr>PILOT_BTL</vt:lpstr>
      <vt:lpstr>PILOT_RESI</vt:lpstr>
      <vt:lpstr>PILOT_TOTAL</vt:lpstr>
      <vt:lpstr>Port_Bal</vt:lpstr>
      <vt:lpstr>Port_Count</vt:lpstr>
      <vt:lpstr>Port_LTVCap</vt:lpstr>
      <vt:lpstr>Port_Rent</vt:lpstr>
      <vt:lpstr>Port_Stress</vt:lpstr>
      <vt:lpstr>Port_Val</vt:lpstr>
      <vt:lpstr>PortTool_AutomatedTriggerText</vt:lpstr>
      <vt:lpstr>PortTool_EquityAvailable</vt:lpstr>
      <vt:lpstr>PortTool_EXTCapR</vt:lpstr>
      <vt:lpstr>PortTool_FARate</vt:lpstr>
      <vt:lpstr>PortTool_MinLoanStressRate</vt:lpstr>
      <vt:lpstr>PortTool_ProductStressRate</vt:lpstr>
      <vt:lpstr>PortTool_TMWCapR</vt:lpstr>
      <vt:lpstr>PortTool_UWNotes</vt:lpstr>
      <vt:lpstr>RentalArray</vt:lpstr>
      <vt:lpstr>Tier_Figs</vt:lpstr>
      <vt:lpstr>TMWStart</vt:lpstr>
      <vt:lpstr>TotalLoanArray</vt:lpstr>
      <vt:lpstr>Underwriter</vt:lpstr>
      <vt:lpstr>UniqueIdentifierArray</vt:lpstr>
      <vt:lpstr>ValueArray</vt:lpstr>
      <vt:lpstr>WithinCriteriaArray</vt:lpstr>
      <vt:lpstr>WithTMWArray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Christopher Hayward</dc:creator>
  <cp:lastModifiedBy>Helen Goodwin</cp:lastModifiedBy>
  <dcterms:created xsi:type="dcterms:W3CDTF">2015-06-05T18:17:20Z</dcterms:created>
  <dcterms:modified xsi:type="dcterms:W3CDTF">2025-04-22T09:55:19Z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580bde-ac20-459a-927b-e4b49b924bfc_Enabled">
    <vt:lpwstr>true</vt:lpwstr>
  </property>
  <property fmtid="{D5CDD505-2E9C-101B-9397-08002B2CF9AE}" pid="3" name="MSIP_Label_08580bde-ac20-459a-927b-e4b49b924bfc_SetDate">
    <vt:lpwstr>2020-07-23T15:59:55Z</vt:lpwstr>
  </property>
  <property fmtid="{D5CDD505-2E9C-101B-9397-08002B2CF9AE}" pid="4" name="MSIP_Label_08580bde-ac20-459a-927b-e4b49b924bfc_Method">
    <vt:lpwstr>Privileged</vt:lpwstr>
  </property>
  <property fmtid="{D5CDD505-2E9C-101B-9397-08002B2CF9AE}" pid="5" name="MSIP_Label_08580bde-ac20-459a-927b-e4b49b924bfc_Name">
    <vt:lpwstr>NBS Confidential - No Visible Label</vt:lpwstr>
  </property>
  <property fmtid="{D5CDD505-2E9C-101B-9397-08002B2CF9AE}" pid="6" name="MSIP_Label_08580bde-ac20-459a-927b-e4b49b924bfc_SiteId">
    <vt:lpwstr>18ed93f5-e470-4996-b0ef-9554af985d50</vt:lpwstr>
  </property>
  <property fmtid="{D5CDD505-2E9C-101B-9397-08002B2CF9AE}" pid="7" name="MSIP_Label_08580bde-ac20-459a-927b-e4b49b924bfc_ActionId">
    <vt:lpwstr>469c0046-8076-47c3-87ed-0000158d4043</vt:lpwstr>
  </property>
  <property fmtid="{D5CDD505-2E9C-101B-9397-08002B2CF9AE}" pid="8" name="MSIP_Label_08580bde-ac20-459a-927b-e4b49b924bfc_ContentBits">
    <vt:lpwstr>0</vt:lpwstr>
  </property>
</Properties>
</file>