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SLMarket\B2B Marketing\1. Documentation Library (Intermediary)\T numbers (TMW)\T1203\"/>
    </mc:Choice>
  </mc:AlternateContent>
  <xr:revisionPtr revIDLastSave="0" documentId="13_ncr:1_{E45263BB-FA79-49F7-BB8E-0018A588B1EC}" xr6:coauthVersionLast="47" xr6:coauthVersionMax="47" xr10:uidLastSave="{00000000-0000-0000-0000-000000000000}"/>
  <workbookProtection workbookAlgorithmName="SHA-512" workbookHashValue="CYYxxiIGhQ/ATryX3Cc3pDWwGto/ZEYXR6o3HJ6YqQVa1ZHg5XOKil0Srz/eMUyBHEAx41BHyjhe+5asFZgrTQ==" workbookSaltValue="ek2x6MmBHM1+NR+FKQranA==" workbookSpinCount="100000" lockStructure="1"/>
  <bookViews>
    <workbookView xWindow="28680" yWindow="-120" windowWidth="29040" windowHeight="15720" xr2:uid="{986BAD46-81AC-4792-A7DC-48D51CA5F319}"/>
  </bookViews>
  <sheets>
    <sheet name="Single Account FA " sheetId="1" r:id="rId1"/>
    <sheet name="Multiple Account FA" sheetId="8" r:id="rId2"/>
    <sheet name="SA Validation" sheetId="6" state="hidden" r:id="rId3"/>
    <sheet name="SA Stress Rate (ML)" sheetId="7" state="hidden" r:id="rId4"/>
    <sheet name="SA Stress Rate (FA)" sheetId="2" state="hidden" r:id="rId5"/>
    <sheet name="MA Validation" sheetId="9" state="hidden" r:id="rId6"/>
    <sheet name="MA Stress Rate (ML1)" sheetId="10" state="hidden" r:id="rId7"/>
    <sheet name="MA Stress Rate (ML2)" sheetId="15" state="hidden" r:id="rId8"/>
    <sheet name="MA Stress Rate (ML3)" sheetId="16" state="hidden" r:id="rId9"/>
    <sheet name="MA Stress Rate (ML4)" sheetId="17" state="hidden" r:id="rId10"/>
    <sheet name="MA Stress Rate (ML5)" sheetId="19" state="hidden" r:id="rId11"/>
    <sheet name="MA Stress Rate (ML6)" sheetId="20" state="hidden" r:id="rId12"/>
    <sheet name="MA Stress Rate (FA)" sheetId="11" state="hidden" r:id="rId13"/>
    <sheet name="ICR" sheetId="3" state="hidden" r:id="rId14"/>
    <sheet name="Property Cap" sheetId="4" state="hidden" r:id="rId15"/>
    <sheet name="Exposure Cap" sheetId="5" state="hidden" r:id="rId16"/>
  </sheets>
  <definedNames>
    <definedName name="_xlnm._FilterDatabase" localSheetId="12" hidden="1">'MA Stress Rate (FA)'!$A$1:$F$31</definedName>
    <definedName name="_xlnm._FilterDatabase" localSheetId="6" hidden="1">'MA Stress Rate (ML1)'!$A$1:$F$31</definedName>
    <definedName name="_xlnm._FilterDatabase" localSheetId="7" hidden="1">'MA Stress Rate (ML2)'!$A$1:$F$19</definedName>
    <definedName name="_xlnm._FilterDatabase" localSheetId="8" hidden="1">'MA Stress Rate (ML3)'!$A$1:$F$19</definedName>
    <definedName name="_xlnm._FilterDatabase" localSheetId="9" hidden="1">'MA Stress Rate (ML4)'!$A$1:$F$19</definedName>
    <definedName name="_xlnm._FilterDatabase" localSheetId="10" hidden="1">'MA Stress Rate (ML5)'!$A$1:$F$19</definedName>
    <definedName name="_xlnm._FilterDatabase" localSheetId="11" hidden="1">'MA Stress Rate (ML6)'!$A$1:$F$19</definedName>
    <definedName name="_xlnm._FilterDatabase" localSheetId="4" hidden="1">'SA Stress Rate (FA)'!$A$1:$F$31</definedName>
    <definedName name="_xlnm._FilterDatabase" localSheetId="3" hidden="1">'SA Stress Rate (ML)'!$A$1:$F$31</definedName>
    <definedName name="_xlnm.Print_Area" localSheetId="1">'Multiple Account FA'!$A$1:$M$58</definedName>
    <definedName name="_xlnm.Print_Area" localSheetId="0">'Single Account FA '!$A$1:$M$30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8" l="1"/>
  <c r="G18" i="8"/>
  <c r="L19" i="8"/>
  <c r="L22" i="8"/>
  <c r="L21" i="8"/>
  <c r="K21" i="8"/>
  <c r="G8" i="8"/>
  <c r="G22" i="8"/>
  <c r="H22" i="8"/>
  <c r="I22" i="8"/>
  <c r="J22" i="8"/>
  <c r="K22" i="8"/>
  <c r="H21" i="8"/>
  <c r="I21" i="8"/>
  <c r="J21" i="8"/>
  <c r="G21" i="8"/>
  <c r="H19" i="8"/>
  <c r="I19" i="8"/>
  <c r="J19" i="8"/>
  <c r="K19" i="8"/>
  <c r="H18" i="8"/>
  <c r="I18" i="8"/>
  <c r="J18" i="8"/>
  <c r="K18" i="8"/>
  <c r="L18" i="8"/>
  <c r="F31" i="20" l="1"/>
  <c r="E31" i="20"/>
  <c r="D31" i="20"/>
  <c r="C31" i="20"/>
  <c r="A31" i="20"/>
  <c r="F30" i="20"/>
  <c r="D30" i="20"/>
  <c r="C30" i="20"/>
  <c r="A30" i="20"/>
  <c r="E30" i="20" s="1"/>
  <c r="F29" i="20"/>
  <c r="D29" i="20"/>
  <c r="C29" i="20"/>
  <c r="A29" i="20"/>
  <c r="E29" i="20" s="1"/>
  <c r="F28" i="20"/>
  <c r="D28" i="20"/>
  <c r="C28" i="20"/>
  <c r="A28" i="20"/>
  <c r="E28" i="20" s="1"/>
  <c r="F27" i="20"/>
  <c r="D27" i="20"/>
  <c r="C27" i="20"/>
  <c r="A27" i="20"/>
  <c r="E27" i="20" s="1"/>
  <c r="F26" i="20"/>
  <c r="D26" i="20"/>
  <c r="C26" i="20"/>
  <c r="A26" i="20"/>
  <c r="E26" i="20" s="1"/>
  <c r="F25" i="20"/>
  <c r="D25" i="20"/>
  <c r="C25" i="20"/>
  <c r="A25" i="20"/>
  <c r="E25" i="20" s="1"/>
  <c r="F24" i="20"/>
  <c r="D24" i="20"/>
  <c r="C24" i="20"/>
  <c r="E24" i="20" s="1"/>
  <c r="A24" i="20"/>
  <c r="F23" i="20"/>
  <c r="D23" i="20"/>
  <c r="C23" i="20"/>
  <c r="E23" i="20" s="1"/>
  <c r="A23" i="20"/>
  <c r="F22" i="20"/>
  <c r="D22" i="20"/>
  <c r="C22" i="20"/>
  <c r="A22" i="20"/>
  <c r="E22" i="20" s="1"/>
  <c r="F21" i="20"/>
  <c r="D21" i="20"/>
  <c r="E21" i="20" s="1"/>
  <c r="C21" i="20"/>
  <c r="A21" i="20"/>
  <c r="F20" i="20"/>
  <c r="D20" i="20"/>
  <c r="E20" i="20" s="1"/>
  <c r="C20" i="20"/>
  <c r="A20" i="20"/>
  <c r="F19" i="20"/>
  <c r="D19" i="20"/>
  <c r="C19" i="20"/>
  <c r="A19" i="20"/>
  <c r="E19" i="20" s="1"/>
  <c r="F18" i="20"/>
  <c r="D18" i="20"/>
  <c r="C18" i="20"/>
  <c r="A18" i="20"/>
  <c r="E18" i="20" s="1"/>
  <c r="F17" i="20"/>
  <c r="E17" i="20"/>
  <c r="D17" i="20"/>
  <c r="C17" i="20"/>
  <c r="A17" i="20"/>
  <c r="F16" i="20"/>
  <c r="D16" i="20"/>
  <c r="C16" i="20"/>
  <c r="A16" i="20"/>
  <c r="E16" i="20" s="1"/>
  <c r="F15" i="20"/>
  <c r="D15" i="20"/>
  <c r="C15" i="20"/>
  <c r="A15" i="20"/>
  <c r="E15" i="20" s="1"/>
  <c r="F14" i="20"/>
  <c r="D14" i="20"/>
  <c r="C14" i="20"/>
  <c r="A14" i="20"/>
  <c r="E14" i="20" s="1"/>
  <c r="F13" i="20"/>
  <c r="D13" i="20"/>
  <c r="C13" i="20"/>
  <c r="A13" i="20"/>
  <c r="E13" i="20" s="1"/>
  <c r="F12" i="20"/>
  <c r="D12" i="20"/>
  <c r="C12" i="20"/>
  <c r="A12" i="20"/>
  <c r="E12" i="20" s="1"/>
  <c r="F11" i="20"/>
  <c r="D11" i="20"/>
  <c r="C11" i="20"/>
  <c r="A11" i="20"/>
  <c r="E11" i="20" s="1"/>
  <c r="F10" i="20"/>
  <c r="D10" i="20"/>
  <c r="C10" i="20"/>
  <c r="E10" i="20" s="1"/>
  <c r="A10" i="20"/>
  <c r="F9" i="20"/>
  <c r="D9" i="20"/>
  <c r="C9" i="20"/>
  <c r="E9" i="20" s="1"/>
  <c r="A9" i="20"/>
  <c r="F8" i="20"/>
  <c r="D8" i="20"/>
  <c r="C8" i="20"/>
  <c r="A8" i="20"/>
  <c r="E8" i="20" s="1"/>
  <c r="F7" i="20"/>
  <c r="D7" i="20"/>
  <c r="E7" i="20" s="1"/>
  <c r="C7" i="20"/>
  <c r="A7" i="20"/>
  <c r="F6" i="20"/>
  <c r="D6" i="20"/>
  <c r="E6" i="20" s="1"/>
  <c r="C6" i="20"/>
  <c r="A6" i="20"/>
  <c r="F5" i="20"/>
  <c r="D5" i="20"/>
  <c r="C5" i="20"/>
  <c r="A5" i="20"/>
  <c r="E5" i="20" s="1"/>
  <c r="F4" i="20"/>
  <c r="D4" i="20"/>
  <c r="C4" i="20"/>
  <c r="A4" i="20"/>
  <c r="E4" i="20" s="1"/>
  <c r="F3" i="20"/>
  <c r="E3" i="20"/>
  <c r="D3" i="20"/>
  <c r="C3" i="20"/>
  <c r="A3" i="20"/>
  <c r="F2" i="20"/>
  <c r="D2" i="20"/>
  <c r="C2" i="20"/>
  <c r="A2" i="20"/>
  <c r="E2" i="20" s="1"/>
  <c r="F31" i="19"/>
  <c r="D31" i="19"/>
  <c r="C31" i="19"/>
  <c r="A31" i="19"/>
  <c r="E31" i="19" s="1"/>
  <c r="F30" i="19"/>
  <c r="D30" i="19"/>
  <c r="C30" i="19"/>
  <c r="A30" i="19"/>
  <c r="E30" i="19" s="1"/>
  <c r="F29" i="19"/>
  <c r="D29" i="19"/>
  <c r="C29" i="19"/>
  <c r="A29" i="19"/>
  <c r="E29" i="19" s="1"/>
  <c r="F28" i="19"/>
  <c r="D28" i="19"/>
  <c r="C28" i="19"/>
  <c r="A28" i="19"/>
  <c r="E28" i="19" s="1"/>
  <c r="F27" i="19"/>
  <c r="D27" i="19"/>
  <c r="C27" i="19"/>
  <c r="A27" i="19"/>
  <c r="E27" i="19" s="1"/>
  <c r="F26" i="19"/>
  <c r="D26" i="19"/>
  <c r="C26" i="19"/>
  <c r="A26" i="19"/>
  <c r="E26" i="19" s="1"/>
  <c r="F25" i="19"/>
  <c r="D25" i="19"/>
  <c r="C25" i="19"/>
  <c r="E25" i="19" s="1"/>
  <c r="A25" i="19"/>
  <c r="F24" i="19"/>
  <c r="D24" i="19"/>
  <c r="C24" i="19"/>
  <c r="A24" i="19"/>
  <c r="E24" i="19" s="1"/>
  <c r="F23" i="19"/>
  <c r="D23" i="19"/>
  <c r="E23" i="19" s="1"/>
  <c r="C23" i="19"/>
  <c r="A23" i="19"/>
  <c r="F22" i="19"/>
  <c r="D22" i="19"/>
  <c r="E22" i="19" s="1"/>
  <c r="C22" i="19"/>
  <c r="A22" i="19"/>
  <c r="F21" i="19"/>
  <c r="D21" i="19"/>
  <c r="C21" i="19"/>
  <c r="A21" i="19"/>
  <c r="E21" i="19" s="1"/>
  <c r="F20" i="19"/>
  <c r="D20" i="19"/>
  <c r="C20" i="19"/>
  <c r="A20" i="19"/>
  <c r="E20" i="19" s="1"/>
  <c r="F19" i="19"/>
  <c r="E19" i="19"/>
  <c r="D19" i="19"/>
  <c r="C19" i="19"/>
  <c r="A19" i="19"/>
  <c r="F18" i="19"/>
  <c r="D18" i="19"/>
  <c r="C18" i="19"/>
  <c r="A18" i="19"/>
  <c r="E18" i="19" s="1"/>
  <c r="F17" i="19"/>
  <c r="D17" i="19"/>
  <c r="C17" i="19"/>
  <c r="A17" i="19"/>
  <c r="E17" i="19" s="1"/>
  <c r="F16" i="19"/>
  <c r="D16" i="19"/>
  <c r="C16" i="19"/>
  <c r="A16" i="19"/>
  <c r="E16" i="19" s="1"/>
  <c r="F15" i="19"/>
  <c r="D15" i="19"/>
  <c r="C15" i="19"/>
  <c r="A15" i="19"/>
  <c r="E15" i="19" s="1"/>
  <c r="F14" i="19"/>
  <c r="D14" i="19"/>
  <c r="C14" i="19"/>
  <c r="A14" i="19"/>
  <c r="E14" i="19" s="1"/>
  <c r="F13" i="19"/>
  <c r="D13" i="19"/>
  <c r="C13" i="19"/>
  <c r="A13" i="19"/>
  <c r="E13" i="19" s="1"/>
  <c r="F12" i="19"/>
  <c r="D12" i="19"/>
  <c r="C12" i="19"/>
  <c r="A12" i="19"/>
  <c r="E12" i="19" s="1"/>
  <c r="F11" i="19"/>
  <c r="D11" i="19"/>
  <c r="C11" i="19"/>
  <c r="E11" i="19" s="1"/>
  <c r="A11" i="19"/>
  <c r="F10" i="19"/>
  <c r="D10" i="19"/>
  <c r="C10" i="19"/>
  <c r="A10" i="19"/>
  <c r="E10" i="19" s="1"/>
  <c r="F9" i="19"/>
  <c r="D9" i="19"/>
  <c r="C9" i="19"/>
  <c r="E9" i="19" s="1"/>
  <c r="A9" i="19"/>
  <c r="F8" i="19"/>
  <c r="D8" i="19"/>
  <c r="E8" i="19" s="1"/>
  <c r="C8" i="19"/>
  <c r="A8" i="19"/>
  <c r="F7" i="19"/>
  <c r="D7" i="19"/>
  <c r="C7" i="19"/>
  <c r="A7" i="19"/>
  <c r="E7" i="19" s="1"/>
  <c r="F6" i="19"/>
  <c r="D6" i="19"/>
  <c r="C6" i="19"/>
  <c r="A6" i="19"/>
  <c r="E6" i="19" s="1"/>
  <c r="F5" i="19"/>
  <c r="E5" i="19"/>
  <c r="D5" i="19"/>
  <c r="C5" i="19"/>
  <c r="A5" i="19"/>
  <c r="F4" i="19"/>
  <c r="D4" i="19"/>
  <c r="C4" i="19"/>
  <c r="A4" i="19"/>
  <c r="E4" i="19" s="1"/>
  <c r="F3" i="19"/>
  <c r="D3" i="19"/>
  <c r="C3" i="19"/>
  <c r="A3" i="19"/>
  <c r="E3" i="19" s="1"/>
  <c r="F2" i="19"/>
  <c r="D2" i="19"/>
  <c r="C2" i="19"/>
  <c r="A2" i="19"/>
  <c r="E2" i="19" s="1"/>
  <c r="B59" i="8" l="1"/>
  <c r="B31" i="1"/>
  <c r="L17" i="1"/>
  <c r="K17" i="1"/>
  <c r="J17" i="1"/>
  <c r="I17" i="1"/>
  <c r="H17" i="1" l="1"/>
  <c r="G17" i="1"/>
  <c r="L52" i="8"/>
  <c r="K52" i="8"/>
  <c r="J52" i="8"/>
  <c r="I52" i="8"/>
  <c r="G52" i="8"/>
  <c r="H52" i="8"/>
  <c r="G14" i="1"/>
  <c r="G13" i="1"/>
  <c r="C55" i="8"/>
  <c r="C27" i="1"/>
  <c r="L24" i="1"/>
  <c r="K24" i="1"/>
  <c r="J24" i="1"/>
  <c r="I24" i="1"/>
  <c r="H24" i="1"/>
  <c r="H14" i="1"/>
  <c r="L14" i="1"/>
  <c r="K14" i="1"/>
  <c r="J14" i="1"/>
  <c r="I14" i="1"/>
  <c r="F28" i="11" l="1"/>
  <c r="F22" i="11"/>
  <c r="F16" i="11"/>
  <c r="F10" i="11"/>
  <c r="F4" i="11"/>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4" i="17"/>
  <c r="F3" i="17"/>
  <c r="F2" i="17"/>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 r="F2" i="16"/>
  <c r="F31" i="15"/>
  <c r="F30" i="15"/>
  <c r="F29" i="15"/>
  <c r="F28" i="15"/>
  <c r="F27" i="15"/>
  <c r="F26" i="15"/>
  <c r="F25" i="15"/>
  <c r="F24" i="15"/>
  <c r="F23" i="15"/>
  <c r="F22" i="15"/>
  <c r="F21" i="15"/>
  <c r="F20" i="15"/>
  <c r="F19" i="15"/>
  <c r="F18" i="15"/>
  <c r="F17" i="15"/>
  <c r="F16" i="15"/>
  <c r="F15" i="15"/>
  <c r="F14" i="15"/>
  <c r="F13" i="15"/>
  <c r="F12" i="15"/>
  <c r="F11" i="15"/>
  <c r="F10" i="15"/>
  <c r="F9" i="15"/>
  <c r="F8" i="15"/>
  <c r="F7" i="15"/>
  <c r="F6" i="15"/>
  <c r="F5" i="15"/>
  <c r="F4" i="15"/>
  <c r="F3" i="15"/>
  <c r="F2" i="15"/>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F22" i="7"/>
  <c r="F31" i="11" l="1"/>
  <c r="F30" i="11"/>
  <c r="F29" i="11"/>
  <c r="F27" i="11"/>
  <c r="F26" i="11"/>
  <c r="F25" i="11"/>
  <c r="F24" i="11"/>
  <c r="F23" i="11"/>
  <c r="F21" i="11"/>
  <c r="F20" i="11"/>
  <c r="F19" i="11"/>
  <c r="F18" i="11"/>
  <c r="F17" i="11"/>
  <c r="F15" i="11"/>
  <c r="F14" i="11"/>
  <c r="F13" i="11"/>
  <c r="F12" i="11"/>
  <c r="F11" i="11"/>
  <c r="F9" i="11"/>
  <c r="F8" i="11"/>
  <c r="G15" i="8" s="1"/>
  <c r="F6" i="11"/>
  <c r="F3" i="11"/>
  <c r="C31" i="11"/>
  <c r="C30" i="11"/>
  <c r="C29" i="11"/>
  <c r="C28" i="11"/>
  <c r="C27" i="11"/>
  <c r="C26" i="11"/>
  <c r="C25" i="11"/>
  <c r="C24" i="11"/>
  <c r="C23" i="11"/>
  <c r="C22" i="11"/>
  <c r="C21" i="11"/>
  <c r="C20" i="11"/>
  <c r="C19" i="11"/>
  <c r="C18" i="11"/>
  <c r="C17" i="11"/>
  <c r="C16" i="11"/>
  <c r="C15" i="11"/>
  <c r="C14" i="11"/>
  <c r="C13" i="11"/>
  <c r="C12" i="11"/>
  <c r="C11" i="11"/>
  <c r="C10" i="11"/>
  <c r="C9" i="11"/>
  <c r="C8" i="11"/>
  <c r="C6" i="11"/>
  <c r="C3" i="11"/>
  <c r="A31" i="11"/>
  <c r="A30" i="11"/>
  <c r="A29" i="11"/>
  <c r="A28" i="11"/>
  <c r="A27" i="11"/>
  <c r="A26" i="11"/>
  <c r="A25" i="11"/>
  <c r="E25" i="11" s="1"/>
  <c r="A24" i="11"/>
  <c r="A23" i="11"/>
  <c r="A22" i="11"/>
  <c r="A21" i="11"/>
  <c r="A19" i="11"/>
  <c r="A18" i="11"/>
  <c r="A17" i="11"/>
  <c r="A16" i="11"/>
  <c r="A15" i="11"/>
  <c r="A14" i="11"/>
  <c r="A13" i="11"/>
  <c r="A12" i="11"/>
  <c r="A11" i="11"/>
  <c r="E11" i="11" s="1"/>
  <c r="A10" i="11"/>
  <c r="A9" i="11"/>
  <c r="A8" i="11"/>
  <c r="A7" i="11"/>
  <c r="A6" i="11"/>
  <c r="A5" i="11"/>
  <c r="A4" i="11"/>
  <c r="A3" i="11"/>
  <c r="E3" i="11" s="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3" i="11"/>
  <c r="D2" i="11"/>
  <c r="D31" i="17"/>
  <c r="C31" i="17"/>
  <c r="A31" i="17"/>
  <c r="D30" i="17"/>
  <c r="C30" i="17"/>
  <c r="A30" i="17"/>
  <c r="D29" i="17"/>
  <c r="C29" i="17"/>
  <c r="E29" i="17" s="1"/>
  <c r="A29" i="17"/>
  <c r="D28" i="17"/>
  <c r="C28" i="17"/>
  <c r="A28" i="17"/>
  <c r="D27" i="17"/>
  <c r="C27" i="17"/>
  <c r="A27" i="17"/>
  <c r="D26" i="17"/>
  <c r="C26" i="17"/>
  <c r="A26" i="17"/>
  <c r="D25" i="17"/>
  <c r="C25" i="17"/>
  <c r="A25" i="17"/>
  <c r="D24" i="17"/>
  <c r="C24" i="17"/>
  <c r="A24" i="17"/>
  <c r="D23" i="17"/>
  <c r="C23" i="17"/>
  <c r="A23" i="17"/>
  <c r="D22" i="17"/>
  <c r="C22" i="17"/>
  <c r="A22" i="17"/>
  <c r="D21" i="17"/>
  <c r="C21" i="17"/>
  <c r="A21" i="17"/>
  <c r="D20" i="17"/>
  <c r="C20" i="17"/>
  <c r="A20" i="17"/>
  <c r="D19" i="17"/>
  <c r="C19" i="17"/>
  <c r="A19" i="17"/>
  <c r="D18" i="17"/>
  <c r="C18" i="17"/>
  <c r="A18" i="17"/>
  <c r="D17" i="17"/>
  <c r="C17" i="17"/>
  <c r="A17" i="17"/>
  <c r="D16" i="17"/>
  <c r="C16" i="17"/>
  <c r="A16" i="17"/>
  <c r="D15" i="17"/>
  <c r="C15" i="17"/>
  <c r="E15" i="17" s="1"/>
  <c r="A15" i="17"/>
  <c r="D14" i="17"/>
  <c r="C14" i="17"/>
  <c r="A14" i="17"/>
  <c r="D13" i="17"/>
  <c r="C13" i="17"/>
  <c r="A13" i="17"/>
  <c r="D12" i="17"/>
  <c r="C12" i="17"/>
  <c r="A12" i="17"/>
  <c r="D11" i="17"/>
  <c r="C11" i="17"/>
  <c r="A11" i="17"/>
  <c r="D10" i="17"/>
  <c r="C10" i="17"/>
  <c r="A10" i="17"/>
  <c r="D9" i="17"/>
  <c r="C9" i="17"/>
  <c r="A9" i="17"/>
  <c r="D8" i="17"/>
  <c r="C8" i="17"/>
  <c r="A8" i="17"/>
  <c r="D7" i="17"/>
  <c r="C7" i="17"/>
  <c r="A7" i="17"/>
  <c r="D6" i="17"/>
  <c r="C6" i="17"/>
  <c r="A6" i="17"/>
  <c r="D5" i="17"/>
  <c r="C5" i="17"/>
  <c r="A5" i="17"/>
  <c r="D4" i="17"/>
  <c r="C4" i="17"/>
  <c r="A4" i="17"/>
  <c r="D3" i="17"/>
  <c r="C3" i="17"/>
  <c r="A3" i="17"/>
  <c r="D2" i="17"/>
  <c r="C2" i="17"/>
  <c r="A2" i="17"/>
  <c r="D31" i="16"/>
  <c r="C31" i="16"/>
  <c r="A31" i="16"/>
  <c r="D30" i="16"/>
  <c r="C30" i="16"/>
  <c r="A30" i="16"/>
  <c r="D29" i="16"/>
  <c r="C29" i="16"/>
  <c r="A29" i="16"/>
  <c r="D28" i="16"/>
  <c r="C28" i="16"/>
  <c r="A28" i="16"/>
  <c r="D27" i="16"/>
  <c r="C27" i="16"/>
  <c r="A27" i="16"/>
  <c r="D26" i="16"/>
  <c r="C26" i="16"/>
  <c r="A26" i="16"/>
  <c r="D25" i="16"/>
  <c r="C25" i="16"/>
  <c r="A25" i="16"/>
  <c r="D24" i="16"/>
  <c r="C24" i="16"/>
  <c r="A24" i="16"/>
  <c r="D23" i="16"/>
  <c r="C23" i="16"/>
  <c r="A23" i="16"/>
  <c r="D22" i="16"/>
  <c r="C22" i="16"/>
  <c r="A22" i="16"/>
  <c r="D21" i="16"/>
  <c r="C21" i="16"/>
  <c r="A21" i="16"/>
  <c r="D20" i="16"/>
  <c r="C20" i="16"/>
  <c r="A20" i="16"/>
  <c r="D19" i="16"/>
  <c r="C19" i="16"/>
  <c r="A19" i="16"/>
  <c r="D18" i="16"/>
  <c r="C18" i="16"/>
  <c r="A18" i="16"/>
  <c r="D17" i="16"/>
  <c r="C17" i="16"/>
  <c r="A17" i="16"/>
  <c r="D16" i="16"/>
  <c r="C16" i="16"/>
  <c r="A16" i="16"/>
  <c r="D15" i="16"/>
  <c r="C15" i="16"/>
  <c r="A15" i="16"/>
  <c r="D14" i="16"/>
  <c r="C14" i="16"/>
  <c r="A14" i="16"/>
  <c r="E14" i="16" s="1"/>
  <c r="D13" i="16"/>
  <c r="C13" i="16"/>
  <c r="A13" i="16"/>
  <c r="E13" i="16" s="1"/>
  <c r="D12" i="16"/>
  <c r="C12" i="16"/>
  <c r="A12" i="16"/>
  <c r="D11" i="16"/>
  <c r="C11" i="16"/>
  <c r="A11" i="16"/>
  <c r="E11" i="16" s="1"/>
  <c r="D10" i="16"/>
  <c r="C10" i="16"/>
  <c r="A10" i="16"/>
  <c r="D9" i="16"/>
  <c r="C9" i="16"/>
  <c r="A9" i="16"/>
  <c r="D8" i="16"/>
  <c r="C8" i="16"/>
  <c r="A8" i="16"/>
  <c r="D7" i="16"/>
  <c r="C7" i="16"/>
  <c r="A7" i="16"/>
  <c r="D6" i="16"/>
  <c r="C6" i="16"/>
  <c r="A6" i="16"/>
  <c r="D5" i="16"/>
  <c r="C5" i="16"/>
  <c r="A5" i="16"/>
  <c r="D4" i="16"/>
  <c r="C4" i="16"/>
  <c r="A4" i="16"/>
  <c r="D3" i="16"/>
  <c r="C3" i="16"/>
  <c r="A3" i="16"/>
  <c r="D2" i="16"/>
  <c r="C2" i="16"/>
  <c r="A2" i="16"/>
  <c r="D31" i="15"/>
  <c r="C31" i="15"/>
  <c r="A31" i="15"/>
  <c r="D30" i="15"/>
  <c r="C30" i="15"/>
  <c r="A30" i="15"/>
  <c r="D29" i="15"/>
  <c r="C29" i="15"/>
  <c r="A29" i="15"/>
  <c r="D28" i="15"/>
  <c r="C28" i="15"/>
  <c r="A28" i="15"/>
  <c r="E28" i="15" s="1"/>
  <c r="D27" i="15"/>
  <c r="C27" i="15"/>
  <c r="A27" i="15"/>
  <c r="E27" i="15" s="1"/>
  <c r="D26" i="15"/>
  <c r="C26" i="15"/>
  <c r="A26" i="15"/>
  <c r="D25" i="15"/>
  <c r="C25" i="15"/>
  <c r="A25" i="15"/>
  <c r="E25" i="15" s="1"/>
  <c r="D24" i="15"/>
  <c r="C24" i="15"/>
  <c r="A24" i="15"/>
  <c r="D23" i="15"/>
  <c r="C23" i="15"/>
  <c r="A23" i="15"/>
  <c r="D22" i="15"/>
  <c r="C22" i="15"/>
  <c r="A22" i="15"/>
  <c r="D21" i="15"/>
  <c r="C21" i="15"/>
  <c r="A21" i="15"/>
  <c r="D20" i="15"/>
  <c r="C20" i="15"/>
  <c r="A20" i="15"/>
  <c r="D19" i="15"/>
  <c r="C19" i="15"/>
  <c r="A19" i="15"/>
  <c r="D18" i="15"/>
  <c r="C18" i="15"/>
  <c r="A18" i="15"/>
  <c r="D17" i="15"/>
  <c r="C17" i="15"/>
  <c r="A17" i="15"/>
  <c r="D16" i="15"/>
  <c r="C16" i="15"/>
  <c r="A16" i="15"/>
  <c r="E16" i="15" s="1"/>
  <c r="D15" i="15"/>
  <c r="C15" i="15"/>
  <c r="A15" i="15"/>
  <c r="D14" i="15"/>
  <c r="C14" i="15"/>
  <c r="A14" i="15"/>
  <c r="D13" i="15"/>
  <c r="C13" i="15"/>
  <c r="A13" i="15"/>
  <c r="D12" i="15"/>
  <c r="C12" i="15"/>
  <c r="A12" i="15"/>
  <c r="D11" i="15"/>
  <c r="C11" i="15"/>
  <c r="A11" i="15"/>
  <c r="D10" i="15"/>
  <c r="C10" i="15"/>
  <c r="A10" i="15"/>
  <c r="D9" i="15"/>
  <c r="C9" i="15"/>
  <c r="A9" i="15"/>
  <c r="D8" i="15"/>
  <c r="C8" i="15"/>
  <c r="A8" i="15"/>
  <c r="D7" i="15"/>
  <c r="C7" i="15"/>
  <c r="A7" i="15"/>
  <c r="D6" i="15"/>
  <c r="C6" i="15"/>
  <c r="A6" i="15"/>
  <c r="D5" i="15"/>
  <c r="C5" i="15"/>
  <c r="A5" i="15"/>
  <c r="D4" i="15"/>
  <c r="C4" i="15"/>
  <c r="A4" i="15"/>
  <c r="D3" i="15"/>
  <c r="C3" i="15"/>
  <c r="A3" i="15"/>
  <c r="D2" i="15"/>
  <c r="C2" i="15"/>
  <c r="A2" i="15"/>
  <c r="E2" i="15" s="1"/>
  <c r="A30" i="10"/>
  <c r="A29" i="10"/>
  <c r="A28" i="10"/>
  <c r="A27" i="10"/>
  <c r="C30" i="10"/>
  <c r="C28" i="10"/>
  <c r="C27" i="10"/>
  <c r="D31" i="10"/>
  <c r="D30" i="10"/>
  <c r="D29" i="10"/>
  <c r="D28" i="10"/>
  <c r="D27" i="10"/>
  <c r="D26" i="10"/>
  <c r="F28" i="10"/>
  <c r="F30" i="10"/>
  <c r="F27" i="10"/>
  <c r="A24" i="10"/>
  <c r="A22" i="10"/>
  <c r="A21" i="10"/>
  <c r="C24" i="10"/>
  <c r="C22" i="10"/>
  <c r="C21" i="10"/>
  <c r="D25" i="10"/>
  <c r="D24" i="10"/>
  <c r="D23" i="10"/>
  <c r="D22" i="10"/>
  <c r="D21" i="10"/>
  <c r="D20" i="10"/>
  <c r="F24" i="10"/>
  <c r="F21" i="10"/>
  <c r="F22" i="10"/>
  <c r="A23" i="10"/>
  <c r="A18" i="10"/>
  <c r="A15" i="10"/>
  <c r="C15" i="10"/>
  <c r="C18" i="10"/>
  <c r="D19" i="10"/>
  <c r="D18" i="10"/>
  <c r="D15" i="10"/>
  <c r="D14" i="10"/>
  <c r="F18" i="10"/>
  <c r="F15" i="10"/>
  <c r="A12" i="10"/>
  <c r="A11" i="10"/>
  <c r="A10" i="10"/>
  <c r="A9" i="10"/>
  <c r="C12" i="10"/>
  <c r="C9" i="10"/>
  <c r="D13" i="10"/>
  <c r="D12" i="10"/>
  <c r="D9" i="10"/>
  <c r="D8" i="10"/>
  <c r="F9" i="10"/>
  <c r="F12" i="10"/>
  <c r="A6" i="10"/>
  <c r="A5" i="10"/>
  <c r="A3" i="10"/>
  <c r="F3" i="10"/>
  <c r="F6" i="10"/>
  <c r="C6" i="10"/>
  <c r="C3" i="10"/>
  <c r="D3" i="10"/>
  <c r="D2" i="10"/>
  <c r="D7" i="10"/>
  <c r="D6" i="10"/>
  <c r="G13" i="8" l="1"/>
  <c r="G14" i="8"/>
  <c r="G11" i="8"/>
  <c r="G12" i="8"/>
  <c r="G10" i="8"/>
  <c r="E30" i="11"/>
  <c r="E7" i="15"/>
  <c r="E5" i="16"/>
  <c r="E3" i="17"/>
  <c r="E31" i="17"/>
  <c r="E12" i="11"/>
  <c r="E18" i="11"/>
  <c r="E9" i="15"/>
  <c r="E23" i="15"/>
  <c r="E21" i="16"/>
  <c r="E5" i="17"/>
  <c r="E10" i="15"/>
  <c r="E24" i="15"/>
  <c r="E8" i="16"/>
  <c r="E6" i="17"/>
  <c r="E13" i="11"/>
  <c r="E28" i="11"/>
  <c r="E14" i="11"/>
  <c r="E27" i="11"/>
  <c r="E10" i="16"/>
  <c r="E22" i="17"/>
  <c r="E15" i="11"/>
  <c r="E15" i="16"/>
  <c r="E19" i="11"/>
  <c r="E6" i="11"/>
  <c r="E21" i="11"/>
  <c r="E28" i="10"/>
  <c r="E22" i="11"/>
  <c r="E29" i="11"/>
  <c r="E21" i="17"/>
  <c r="E12" i="17"/>
  <c r="E3" i="15"/>
  <c r="E31" i="15"/>
  <c r="E13" i="17"/>
  <c r="E27" i="17"/>
  <c r="E16" i="11"/>
  <c r="E31" i="11"/>
  <c r="E22" i="15"/>
  <c r="E20" i="16"/>
  <c r="E4" i="17"/>
  <c r="E18" i="17"/>
  <c r="E17" i="11"/>
  <c r="E9" i="17"/>
  <c r="E23" i="17"/>
  <c r="E9" i="16"/>
  <c r="E18" i="15"/>
  <c r="E2" i="16"/>
  <c r="E30" i="16"/>
  <c r="E14" i="17"/>
  <c r="E30" i="10"/>
  <c r="E19" i="15"/>
  <c r="E3" i="16"/>
  <c r="E17" i="16"/>
  <c r="E10" i="17"/>
  <c r="E8" i="11"/>
  <c r="E23" i="11"/>
  <c r="E23" i="16"/>
  <c r="E9" i="11"/>
  <c r="E24" i="11"/>
  <c r="E26" i="16"/>
  <c r="E27" i="16"/>
  <c r="E10" i="11"/>
  <c r="E6" i="15"/>
  <c r="E29" i="15"/>
  <c r="E4" i="16"/>
  <c r="E18" i="16"/>
  <c r="E16" i="17"/>
  <c r="E30" i="17"/>
  <c r="E26" i="11"/>
  <c r="E8" i="15"/>
  <c r="E17" i="15"/>
  <c r="E19" i="16"/>
  <c r="E28" i="16"/>
  <c r="E25" i="17"/>
  <c r="E7" i="17"/>
  <c r="E12" i="15"/>
  <c r="E4" i="15"/>
  <c r="E13" i="15"/>
  <c r="E26" i="15"/>
  <c r="E6" i="16"/>
  <c r="E24" i="16"/>
  <c r="E8" i="17"/>
  <c r="E17" i="17"/>
  <c r="E29" i="16"/>
  <c r="E5" i="15"/>
  <c r="E14" i="15"/>
  <c r="E7" i="16"/>
  <c r="E16" i="16"/>
  <c r="E25" i="16"/>
  <c r="E26" i="17"/>
  <c r="E15" i="15"/>
  <c r="E20" i="15"/>
  <c r="E12" i="16"/>
  <c r="E22" i="16"/>
  <c r="E31" i="16"/>
  <c r="E19" i="17"/>
  <c r="E28" i="17"/>
  <c r="E11" i="15"/>
  <c r="E21" i="15"/>
  <c r="E30" i="15"/>
  <c r="E2" i="17"/>
  <c r="E11" i="17"/>
  <c r="E20" i="17"/>
  <c r="E24" i="17"/>
  <c r="E27" i="10"/>
  <c r="E21" i="10"/>
  <c r="E24" i="10"/>
  <c r="E22" i="10"/>
  <c r="E18" i="10"/>
  <c r="E15" i="10"/>
  <c r="E12" i="10"/>
  <c r="E9" i="10"/>
  <c r="E3" i="10"/>
  <c r="E6" i="10"/>
  <c r="F14" i="7"/>
  <c r="F8" i="7"/>
  <c r="F2" i="7"/>
  <c r="D31" i="2"/>
  <c r="C31" i="2"/>
  <c r="D30" i="2"/>
  <c r="C30" i="2"/>
  <c r="E30" i="2" s="1"/>
  <c r="D29" i="2"/>
  <c r="C29" i="2"/>
  <c r="D28" i="2"/>
  <c r="C28" i="2"/>
  <c r="D27" i="2"/>
  <c r="C27" i="2"/>
  <c r="D26" i="2"/>
  <c r="C26" i="2"/>
  <c r="D25" i="2"/>
  <c r="C25" i="2"/>
  <c r="D24" i="2"/>
  <c r="C24" i="2"/>
  <c r="D23" i="2"/>
  <c r="C23" i="2"/>
  <c r="E23" i="2" s="1"/>
  <c r="D22" i="2"/>
  <c r="C22" i="2"/>
  <c r="D21" i="2"/>
  <c r="C21" i="2"/>
  <c r="D20" i="2"/>
  <c r="C20" i="2"/>
  <c r="A20" i="2"/>
  <c r="D19" i="2"/>
  <c r="C19" i="2"/>
  <c r="A19" i="2"/>
  <c r="D18" i="2"/>
  <c r="C18" i="2"/>
  <c r="A18" i="2"/>
  <c r="D17" i="2"/>
  <c r="C17" i="2"/>
  <c r="A17" i="2"/>
  <c r="D16" i="2"/>
  <c r="C16" i="2"/>
  <c r="A16" i="2"/>
  <c r="D15" i="2"/>
  <c r="E15" i="2" s="1"/>
  <c r="D14" i="2"/>
  <c r="C14" i="2"/>
  <c r="A14" i="2"/>
  <c r="D13" i="2"/>
  <c r="C13" i="2"/>
  <c r="A13" i="2"/>
  <c r="D12" i="2"/>
  <c r="C12" i="2"/>
  <c r="A12" i="2"/>
  <c r="D11" i="2"/>
  <c r="C11" i="2"/>
  <c r="A11" i="2"/>
  <c r="D10" i="2"/>
  <c r="C10" i="2"/>
  <c r="A10" i="2"/>
  <c r="D9" i="2"/>
  <c r="E9" i="2" s="1"/>
  <c r="D8" i="2"/>
  <c r="C8" i="2"/>
  <c r="A8" i="2"/>
  <c r="D7" i="2"/>
  <c r="C7" i="2"/>
  <c r="A7" i="2"/>
  <c r="D6" i="2"/>
  <c r="C6" i="2"/>
  <c r="A6" i="2"/>
  <c r="D5" i="2"/>
  <c r="C5" i="2"/>
  <c r="A5" i="2"/>
  <c r="D4" i="2"/>
  <c r="C4" i="2"/>
  <c r="A4" i="2"/>
  <c r="D3" i="2"/>
  <c r="C3" i="2"/>
  <c r="A3" i="2"/>
  <c r="D2" i="2"/>
  <c r="E2" i="2" s="1"/>
  <c r="F30" i="7"/>
  <c r="F29" i="7"/>
  <c r="F27" i="7"/>
  <c r="F24" i="7"/>
  <c r="F23" i="7"/>
  <c r="F21" i="7"/>
  <c r="D31" i="7"/>
  <c r="D30" i="7"/>
  <c r="D29" i="7"/>
  <c r="D28" i="7"/>
  <c r="D27" i="7"/>
  <c r="D26" i="7"/>
  <c r="D25" i="7"/>
  <c r="D24" i="7"/>
  <c r="D23" i="7"/>
  <c r="D22" i="7"/>
  <c r="D21" i="7"/>
  <c r="E21" i="7" s="1"/>
  <c r="D20" i="7"/>
  <c r="C31" i="7"/>
  <c r="C30" i="7"/>
  <c r="C29" i="7"/>
  <c r="C28" i="7"/>
  <c r="C27" i="7"/>
  <c r="C26" i="7"/>
  <c r="C24" i="7"/>
  <c r="C21" i="7"/>
  <c r="C23" i="7"/>
  <c r="F18" i="7"/>
  <c r="D19" i="7"/>
  <c r="D18" i="7"/>
  <c r="A18" i="7"/>
  <c r="C18" i="7"/>
  <c r="F12" i="7"/>
  <c r="A12" i="7"/>
  <c r="C12" i="7"/>
  <c r="D13" i="7"/>
  <c r="D12" i="7"/>
  <c r="A13" i="7"/>
  <c r="C13" i="7"/>
  <c r="F6" i="7"/>
  <c r="D7" i="7"/>
  <c r="D6" i="7"/>
  <c r="C6" i="7"/>
  <c r="A6" i="7"/>
  <c r="D15" i="7"/>
  <c r="E15" i="7" s="1"/>
  <c r="D14" i="7"/>
  <c r="F15" i="7"/>
  <c r="F9" i="7"/>
  <c r="D9" i="7"/>
  <c r="E9" i="7" s="1"/>
  <c r="D8" i="7"/>
  <c r="D3" i="7"/>
  <c r="D2" i="7"/>
  <c r="E2" i="7" s="1"/>
  <c r="C4" i="11"/>
  <c r="D5" i="11"/>
  <c r="D4" i="11"/>
  <c r="D17" i="10"/>
  <c r="D16" i="10"/>
  <c r="D11" i="10"/>
  <c r="D10" i="10"/>
  <c r="D5" i="10"/>
  <c r="D4" i="10"/>
  <c r="F16" i="10"/>
  <c r="F10" i="10"/>
  <c r="F4" i="10"/>
  <c r="C16" i="10"/>
  <c r="C10" i="10"/>
  <c r="C4" i="10"/>
  <c r="A16" i="10"/>
  <c r="A4" i="10"/>
  <c r="F17" i="7"/>
  <c r="F16" i="7"/>
  <c r="F11" i="7"/>
  <c r="F10" i="7"/>
  <c r="D17" i="7"/>
  <c r="D16" i="7"/>
  <c r="D11" i="7"/>
  <c r="D10" i="7"/>
  <c r="D5" i="7"/>
  <c r="D4" i="7"/>
  <c r="C17" i="7"/>
  <c r="C11" i="7"/>
  <c r="A17" i="7"/>
  <c r="A11" i="7"/>
  <c r="E12" i="2" l="1"/>
  <c r="E18" i="2"/>
  <c r="E25" i="2"/>
  <c r="E3" i="2"/>
  <c r="E13" i="2"/>
  <c r="E24" i="7"/>
  <c r="E4" i="2"/>
  <c r="E14" i="2"/>
  <c r="E31" i="7"/>
  <c r="E21" i="2"/>
  <c r="E22" i="2"/>
  <c r="E28" i="2"/>
  <c r="E24" i="2"/>
  <c r="E19" i="2"/>
  <c r="E28" i="7"/>
  <c r="E27" i="7"/>
  <c r="E29" i="7"/>
  <c r="E5" i="2"/>
  <c r="E20" i="2"/>
  <c r="E26" i="2"/>
  <c r="E6" i="2"/>
  <c r="E30" i="7"/>
  <c r="E11" i="2"/>
  <c r="E16" i="2"/>
  <c r="E27" i="2"/>
  <c r="E10" i="2"/>
  <c r="E31" i="2"/>
  <c r="E7" i="2"/>
  <c r="E17" i="2"/>
  <c r="E29" i="2"/>
  <c r="E8" i="2"/>
  <c r="E4" i="11"/>
  <c r="E4" i="10"/>
  <c r="E10" i="10"/>
  <c r="E16" i="10"/>
  <c r="E26" i="7"/>
  <c r="E23" i="7"/>
  <c r="E12" i="7"/>
  <c r="E18" i="7"/>
  <c r="E13" i="7"/>
  <c r="E6" i="7"/>
  <c r="E11" i="7"/>
  <c r="E17" i="7"/>
  <c r="F7" i="7"/>
  <c r="F5" i="7"/>
  <c r="F4" i="7"/>
  <c r="C5" i="7"/>
  <c r="A5" i="7"/>
  <c r="F3" i="7"/>
  <c r="B7" i="4"/>
  <c r="A7" i="4"/>
  <c r="F5" i="11"/>
  <c r="F29" i="10"/>
  <c r="F23" i="10"/>
  <c r="F17" i="10"/>
  <c r="F11" i="10"/>
  <c r="F5" i="10"/>
  <c r="F28" i="7"/>
  <c r="F13" i="10"/>
  <c r="F31" i="10"/>
  <c r="F19" i="10"/>
  <c r="F31" i="7"/>
  <c r="F19" i="7"/>
  <c r="F13" i="7"/>
  <c r="F20" i="7"/>
  <c r="F25" i="7"/>
  <c r="F26" i="7"/>
  <c r="F7" i="11"/>
  <c r="F25" i="10"/>
  <c r="F7" i="10"/>
  <c r="F2" i="11"/>
  <c r="D7" i="4" l="1"/>
  <c r="E5" i="7"/>
  <c r="F26" i="10"/>
  <c r="F2" i="10"/>
  <c r="G9" i="8" s="1"/>
  <c r="G16" i="8" s="1"/>
  <c r="C25" i="10"/>
  <c r="A25" i="10"/>
  <c r="C23" i="10"/>
  <c r="E23" i="10" s="1"/>
  <c r="F20" i="10"/>
  <c r="C20" i="10"/>
  <c r="A20" i="10"/>
  <c r="E20" i="10" s="1"/>
  <c r="C13" i="10"/>
  <c r="A13" i="10"/>
  <c r="C11" i="10"/>
  <c r="F8" i="10"/>
  <c r="C8" i="10"/>
  <c r="A8" i="10"/>
  <c r="C19" i="10"/>
  <c r="A19" i="10"/>
  <c r="C17" i="10"/>
  <c r="A17" i="10"/>
  <c r="E17" i="10" s="1"/>
  <c r="F14" i="10"/>
  <c r="C14" i="10"/>
  <c r="A14" i="10"/>
  <c r="C19" i="7"/>
  <c r="A19" i="7"/>
  <c r="C16" i="7"/>
  <c r="A16" i="7"/>
  <c r="C14" i="7"/>
  <c r="A14" i="7"/>
  <c r="C10" i="7"/>
  <c r="A10" i="7"/>
  <c r="C8" i="7"/>
  <c r="A8" i="7"/>
  <c r="E19" i="7" l="1"/>
  <c r="E14" i="10"/>
  <c r="E8" i="10"/>
  <c r="E8" i="7"/>
  <c r="E10" i="7"/>
  <c r="E25" i="10"/>
  <c r="E19" i="10"/>
  <c r="E13" i="10"/>
  <c r="E11" i="10"/>
  <c r="E14" i="7"/>
  <c r="E16" i="7"/>
  <c r="A20" i="11"/>
  <c r="E20" i="11" s="1"/>
  <c r="C7" i="11"/>
  <c r="E7" i="11" s="1"/>
  <c r="C5" i="11"/>
  <c r="E5" i="11" s="1"/>
  <c r="C2" i="11"/>
  <c r="A2" i="11"/>
  <c r="E2" i="11" s="1"/>
  <c r="C31" i="10"/>
  <c r="A31" i="10"/>
  <c r="C29" i="10"/>
  <c r="E29" i="10" s="1"/>
  <c r="C26" i="10"/>
  <c r="A26" i="10"/>
  <c r="C7" i="10"/>
  <c r="A7" i="10"/>
  <c r="C5" i="10"/>
  <c r="C2" i="10"/>
  <c r="A2" i="10"/>
  <c r="C25" i="7"/>
  <c r="E25" i="7" s="1"/>
  <c r="C7" i="7"/>
  <c r="C22" i="7"/>
  <c r="E22" i="7" s="1"/>
  <c r="C4" i="7"/>
  <c r="C20" i="7"/>
  <c r="C3" i="7"/>
  <c r="K13" i="1"/>
  <c r="H13" i="1"/>
  <c r="I13" i="1"/>
  <c r="J13" i="1"/>
  <c r="L13" i="1"/>
  <c r="A20" i="7"/>
  <c r="A7" i="7"/>
  <c r="E7" i="7" s="1"/>
  <c r="A4" i="7"/>
  <c r="A3" i="7"/>
  <c r="E31" i="10" l="1"/>
  <c r="E7" i="10"/>
  <c r="E20" i="7"/>
  <c r="E26" i="10"/>
  <c r="E2" i="10"/>
  <c r="E5" i="10"/>
  <c r="E3" i="7"/>
  <c r="E4" i="7"/>
  <c r="D17" i="3"/>
  <c r="D16" i="3"/>
  <c r="D15" i="3"/>
  <c r="D14" i="3"/>
  <c r="D13" i="3"/>
  <c r="D12" i="3"/>
  <c r="D11" i="3"/>
  <c r="D10" i="3"/>
  <c r="D9" i="3"/>
  <c r="D8" i="3"/>
  <c r="D7" i="3"/>
  <c r="D6" i="3"/>
  <c r="D5" i="3"/>
  <c r="D4" i="3"/>
  <c r="D3" i="3"/>
  <c r="D2" i="3"/>
  <c r="C17" i="3"/>
  <c r="C16" i="3"/>
  <c r="C15" i="3"/>
  <c r="C14" i="3"/>
  <c r="C13" i="3"/>
  <c r="C12" i="3"/>
  <c r="C11" i="3"/>
  <c r="C10" i="3"/>
  <c r="C9" i="3"/>
  <c r="C8" i="3"/>
  <c r="C7" i="3"/>
  <c r="C6" i="3"/>
  <c r="C5" i="3"/>
  <c r="C4" i="3"/>
  <c r="C3" i="3"/>
  <c r="C2" i="3"/>
  <c r="B17" i="3"/>
  <c r="B16" i="3"/>
  <c r="B15" i="3"/>
  <c r="B14" i="3"/>
  <c r="B13" i="3"/>
  <c r="B12" i="3"/>
  <c r="B11" i="3"/>
  <c r="B10" i="3"/>
  <c r="B9" i="3"/>
  <c r="B8" i="3"/>
  <c r="B7" i="3"/>
  <c r="B6" i="3"/>
  <c r="B5" i="3"/>
  <c r="B4" i="3"/>
  <c r="B3" i="3"/>
  <c r="B2" i="3"/>
  <c r="A17" i="3"/>
  <c r="A16" i="3"/>
  <c r="A15" i="3"/>
  <c r="A14" i="3"/>
  <c r="A13" i="3"/>
  <c r="A12" i="3"/>
  <c r="A11" i="3"/>
  <c r="A10" i="3"/>
  <c r="A9" i="3"/>
  <c r="A8" i="3"/>
  <c r="A7" i="3"/>
  <c r="A6" i="3"/>
  <c r="A5" i="3"/>
  <c r="A4" i="3"/>
  <c r="A3" i="3"/>
  <c r="A2" i="3"/>
  <c r="A25" i="4" l="1"/>
  <c r="A24" i="4"/>
  <c r="A23" i="4"/>
  <c r="A22" i="4"/>
  <c r="A21" i="4"/>
  <c r="A20" i="4"/>
  <c r="A19" i="4"/>
  <c r="A18" i="4"/>
  <c r="A17" i="4"/>
  <c r="A16" i="4"/>
  <c r="A15" i="4"/>
  <c r="A14" i="4"/>
  <c r="B25" i="4"/>
  <c r="B24" i="4"/>
  <c r="B23" i="4"/>
  <c r="B22" i="4"/>
  <c r="B21" i="4"/>
  <c r="B20" i="4"/>
  <c r="B19" i="4"/>
  <c r="B18" i="4"/>
  <c r="B17" i="4"/>
  <c r="B16" i="4"/>
  <c r="B15" i="4"/>
  <c r="B14" i="4"/>
  <c r="B13" i="4"/>
  <c r="B12" i="4"/>
  <c r="B11" i="4"/>
  <c r="B10" i="4"/>
  <c r="B9" i="4"/>
  <c r="B8" i="4"/>
  <c r="B6" i="4"/>
  <c r="B5" i="4"/>
  <c r="B4" i="4"/>
  <c r="B3" i="4"/>
  <c r="B2" i="4"/>
  <c r="A13" i="4"/>
  <c r="A12" i="4"/>
  <c r="A11" i="4"/>
  <c r="A10" i="4"/>
  <c r="A9" i="4"/>
  <c r="A8" i="4"/>
  <c r="A6" i="4"/>
  <c r="A5" i="4"/>
  <c r="A4" i="4"/>
  <c r="A3" i="4"/>
  <c r="A2" i="4"/>
  <c r="E17" i="3"/>
  <c r="E16" i="3"/>
  <c r="E15" i="3"/>
  <c r="E14" i="3"/>
  <c r="E13" i="3"/>
  <c r="E12" i="3"/>
  <c r="E11" i="3"/>
  <c r="E10" i="3"/>
  <c r="E9" i="3"/>
  <c r="E8" i="3"/>
  <c r="E7" i="3"/>
  <c r="E6" i="3"/>
  <c r="E5" i="3"/>
  <c r="E4" i="3"/>
  <c r="E3" i="3"/>
  <c r="E2" i="3"/>
  <c r="D11" i="4" l="1"/>
  <c r="H8" i="1"/>
  <c r="H10" i="1" s="1"/>
  <c r="H9" i="1" s="1"/>
  <c r="G8" i="1"/>
  <c r="D12" i="4"/>
  <c r="D13" i="4"/>
  <c r="D3" i="4"/>
  <c r="D4" i="4"/>
  <c r="K8" i="8"/>
  <c r="J8" i="8"/>
  <c r="H8" i="8"/>
  <c r="L8" i="8"/>
  <c r="I8" i="8"/>
  <c r="D9" i="4"/>
  <c r="D10" i="4"/>
  <c r="D5" i="4"/>
  <c r="D6" i="4"/>
  <c r="D8" i="4"/>
  <c r="D18" i="4"/>
  <c r="D24" i="4"/>
  <c r="D19" i="4"/>
  <c r="D25" i="4"/>
  <c r="D2" i="4"/>
  <c r="D14" i="4"/>
  <c r="D20" i="4"/>
  <c r="D15" i="4"/>
  <c r="D21" i="4"/>
  <c r="D16" i="4"/>
  <c r="D22" i="4"/>
  <c r="D17" i="4"/>
  <c r="D23" i="4"/>
  <c r="I8" i="1"/>
  <c r="I10" i="1" s="1"/>
  <c r="I9" i="1" s="1"/>
  <c r="J8" i="1"/>
  <c r="J10" i="1" s="1"/>
  <c r="J9" i="1" s="1"/>
  <c r="K8" i="1"/>
  <c r="K10" i="1" s="1"/>
  <c r="K9" i="1" s="1"/>
  <c r="L8" i="1"/>
  <c r="L10" i="1" s="1"/>
  <c r="L9" i="1" s="1"/>
  <c r="G10" i="1" l="1"/>
  <c r="G9" i="1" s="1"/>
  <c r="G11" i="1" s="1"/>
  <c r="L15" i="8"/>
  <c r="I15" i="8"/>
  <c r="H15" i="8"/>
  <c r="K15" i="8"/>
  <c r="J15" i="8"/>
  <c r="L11" i="1"/>
  <c r="K16" i="1"/>
  <c r="J11" i="1"/>
  <c r="J15" i="1" s="1"/>
  <c r="K11" i="1"/>
  <c r="K15" i="1" s="1"/>
  <c r="H11" i="1"/>
  <c r="H15" i="1" s="1"/>
  <c r="I11" i="1"/>
  <c r="I15" i="1" s="1"/>
  <c r="G16" i="1"/>
  <c r="I16" i="1"/>
  <c r="H16" i="1"/>
  <c r="L16" i="1"/>
  <c r="J16" i="1"/>
  <c r="J10" i="8" l="1"/>
  <c r="J14" i="8"/>
  <c r="J13" i="8"/>
  <c r="I11" i="8"/>
  <c r="I14" i="8"/>
  <c r="I13" i="8"/>
  <c r="K12" i="8"/>
  <c r="K14" i="8"/>
  <c r="K13" i="8"/>
  <c r="H9" i="8"/>
  <c r="H14" i="8"/>
  <c r="H13" i="8"/>
  <c r="L12" i="8"/>
  <c r="L13" i="8"/>
  <c r="L14" i="8"/>
  <c r="L11" i="8"/>
  <c r="I21" i="1"/>
  <c r="I19" i="1"/>
  <c r="H21" i="1"/>
  <c r="H19" i="1"/>
  <c r="K21" i="1"/>
  <c r="K19" i="1"/>
  <c r="J21" i="1"/>
  <c r="J19" i="1"/>
  <c r="G15" i="1"/>
  <c r="J11" i="8"/>
  <c r="I10" i="8"/>
  <c r="I12" i="8"/>
  <c r="J9" i="8"/>
  <c r="H11" i="8"/>
  <c r="J12" i="8"/>
  <c r="I9" i="8"/>
  <c r="K11" i="8"/>
  <c r="H10" i="8"/>
  <c r="H12" i="8"/>
  <c r="K9" i="8"/>
  <c r="K10" i="8"/>
  <c r="L9" i="8"/>
  <c r="L10" i="8"/>
  <c r="L15" i="1"/>
  <c r="K16" i="8" l="1"/>
  <c r="H16" i="8"/>
  <c r="I16" i="8"/>
  <c r="L16" i="8"/>
  <c r="J16" i="8"/>
  <c r="J25" i="1"/>
  <c r="J28" i="1" s="1"/>
  <c r="K25" i="1"/>
  <c r="K28" i="1" s="1"/>
  <c r="H25" i="1"/>
  <c r="H28" i="1" s="1"/>
  <c r="I25" i="1"/>
  <c r="I28" i="1" s="1"/>
  <c r="G21" i="1"/>
  <c r="G19" i="1"/>
  <c r="L21" i="1"/>
  <c r="L19" i="1"/>
  <c r="G20" i="8"/>
  <c r="G24" i="8" l="1"/>
  <c r="G26" i="8"/>
  <c r="L20" i="8"/>
  <c r="L24" i="8" s="1"/>
  <c r="H20" i="8"/>
  <c r="H24" i="8" s="1"/>
  <c r="J20" i="8"/>
  <c r="J24" i="8" s="1"/>
  <c r="I20" i="8"/>
  <c r="I24" i="8" s="1"/>
  <c r="K20" i="8"/>
  <c r="K26" i="8" s="1"/>
  <c r="K27" i="1"/>
  <c r="K26" i="1" s="1"/>
  <c r="I27" i="1"/>
  <c r="I26" i="1" s="1"/>
  <c r="J27" i="1"/>
  <c r="J26" i="1" s="1"/>
  <c r="H27" i="1"/>
  <c r="H26" i="1" s="1"/>
  <c r="L25" i="1"/>
  <c r="L28" i="1" s="1"/>
  <c r="G25" i="1"/>
  <c r="G28" i="1" s="1"/>
  <c r="D25" i="1"/>
  <c r="D27" i="1" l="1"/>
  <c r="D26" i="1" s="1"/>
  <c r="G53" i="8"/>
  <c r="G63" i="8" s="1"/>
  <c r="H26" i="8"/>
  <c r="L26" i="8"/>
  <c r="L53" i="8" s="1"/>
  <c r="K24" i="8"/>
  <c r="K53" i="8" s="1"/>
  <c r="I26" i="8"/>
  <c r="J26" i="8"/>
  <c r="J53" i="8" s="1"/>
  <c r="L27" i="1"/>
  <c r="L26" i="1" s="1"/>
  <c r="I53" i="8"/>
  <c r="H53" i="8"/>
  <c r="G27" i="1"/>
  <c r="G26" i="1" s="1"/>
  <c r="D28" i="1"/>
  <c r="H56" i="8" l="1"/>
  <c r="H66" i="8" s="1"/>
  <c r="K56" i="8"/>
  <c r="K66" i="8" s="1"/>
  <c r="I56" i="8"/>
  <c r="I66" i="8" s="1"/>
  <c r="L56" i="8"/>
  <c r="L66" i="8" s="1"/>
  <c r="J56" i="8"/>
  <c r="J66" i="8" s="1"/>
  <c r="G56" i="8"/>
  <c r="G66" i="8" s="1"/>
  <c r="I55" i="8"/>
  <c r="I54" i="8" s="1"/>
  <c r="I64" i="8" s="1"/>
  <c r="J55" i="8"/>
  <c r="J54" i="8" s="1"/>
  <c r="J64" i="8" s="1"/>
  <c r="D53" i="8"/>
  <c r="H55" i="8"/>
  <c r="H65" i="8" s="1"/>
  <c r="L55" i="8"/>
  <c r="L65" i="8" s="1"/>
  <c r="K55" i="8"/>
  <c r="K65" i="8" s="1"/>
  <c r="I63" i="8"/>
  <c r="J63" i="8"/>
  <c r="K63" i="8"/>
  <c r="H63" i="8"/>
  <c r="L63" i="8"/>
  <c r="G55" i="8"/>
  <c r="D55" i="8" l="1"/>
  <c r="D54" i="8" s="1"/>
  <c r="D56" i="8"/>
  <c r="I65" i="8"/>
  <c r="H54" i="8"/>
  <c r="H64" i="8" s="1"/>
  <c r="K54" i="8"/>
  <c r="K64" i="8" s="1"/>
  <c r="J65" i="8"/>
  <c r="L54" i="8"/>
  <c r="L64" i="8" s="1"/>
  <c r="G54" i="8"/>
  <c r="G64" i="8" s="1"/>
  <c r="G65" i="8"/>
</calcChain>
</file>

<file path=xl/sharedStrings.xml><?xml version="1.0" encoding="utf-8"?>
<sst xmlns="http://schemas.openxmlformats.org/spreadsheetml/2006/main" count="326" uniqueCount="115">
  <si>
    <t>Further Advance Calculator</t>
  </si>
  <si>
    <r>
      <t xml:space="preserve">For </t>
    </r>
    <r>
      <rPr>
        <b/>
        <sz val="14"/>
        <color theme="0"/>
        <rFont val="Arial"/>
        <family val="2"/>
      </rPr>
      <t>single</t>
    </r>
    <r>
      <rPr>
        <sz val="14"/>
        <color theme="0"/>
        <rFont val="Arial"/>
        <family val="2"/>
      </rPr>
      <t xml:space="preserve"> loan accounts on one property.
Please complete the steps below to calculate your client's maximum borrowing.
To find out more about further advances, click on the The Mortgage Works logo.</t>
    </r>
  </si>
  <si>
    <t>What is the current property value?</t>
  </si>
  <si>
    <t>LTV1</t>
  </si>
  <si>
    <t>What is the current monthly rental income?</t>
  </si>
  <si>
    <t>LTV2</t>
  </si>
  <si>
    <t>=&lt;65%</t>
  </si>
  <si>
    <t>&gt;65%</t>
  </si>
  <si>
    <t>What is the existing loan amount on the property?</t>
  </si>
  <si>
    <t>ICR</t>
  </si>
  <si>
    <t>What is the current interest rate being paid?</t>
  </si>
  <si>
    <t>Stress Rate (ML)</t>
  </si>
  <si>
    <t>What term is remaining on the existing product?</t>
  </si>
  <si>
    <t>Fixed for 5 or more years</t>
  </si>
  <si>
    <t>Stress Rate (FA)</t>
  </si>
  <si>
    <t>Spare Rent</t>
  </si>
  <si>
    <t>How much borrowing does/do the applicant(s) have with The Mortgage Works?</t>
  </si>
  <si>
    <t>Up to £750,000</t>
  </si>
  <si>
    <t>What is the applicant(s) tax status?</t>
  </si>
  <si>
    <t>All applicants are Lower Rate</t>
  </si>
  <si>
    <t>Is the/are either applicant an experienced landlord?</t>
  </si>
  <si>
    <t>Yes</t>
  </si>
  <si>
    <t>Affordability Cap</t>
  </si>
  <si>
    <t>What is the applicants portfolio size?</t>
  </si>
  <si>
    <t>3 or less properties at completion</t>
  </si>
  <si>
    <t>Property Cap</t>
  </si>
  <si>
    <t>How is the property owned?</t>
  </si>
  <si>
    <t>Owned in personal names</t>
  </si>
  <si>
    <t>Exposure Cap</t>
  </si>
  <si>
    <t>What type of property is it?</t>
  </si>
  <si>
    <t>Standard BTL</t>
  </si>
  <si>
    <t>What is the Further Advance product pay rate?</t>
  </si>
  <si>
    <t>What is the Further Advance product term?</t>
  </si>
  <si>
    <t xml:space="preserve">What product fee is selected? </t>
  </si>
  <si>
    <t>Loan to Value (LTV)</t>
  </si>
  <si>
    <r>
      <rPr>
        <sz val="14"/>
        <color rgb="FFFFFFFF"/>
        <rFont val="Arial"/>
        <family val="2"/>
      </rPr>
      <t xml:space="preserve">For </t>
    </r>
    <r>
      <rPr>
        <b/>
        <sz val="14"/>
        <color rgb="FFFFFFFF"/>
        <rFont val="Arial"/>
        <family val="2"/>
      </rPr>
      <t>multiple</t>
    </r>
    <r>
      <rPr>
        <sz val="14"/>
        <color rgb="FFFFFFFF"/>
        <rFont val="Arial"/>
        <family val="2"/>
      </rPr>
      <t xml:space="preserve"> loan accounts on one property.
Please complete the steps below to calculate your client's maximum borrowing.
To find out more about further advances, click on the The Mortgage Works logo.</t>
    </r>
  </si>
  <si>
    <t>Stress Rate (ML1)</t>
  </si>
  <si>
    <t>Stress Rate (ML2)</t>
  </si>
  <si>
    <t>Stress Rate (ML3)</t>
  </si>
  <si>
    <t>Stress Rate (ML4)</t>
  </si>
  <si>
    <t>Existing Loan Element 1</t>
  </si>
  <si>
    <t>Existing Loan Element 2</t>
  </si>
  <si>
    <t>Existing Loan Element 3</t>
  </si>
  <si>
    <t>Existing Loan Element 4</t>
  </si>
  <si>
    <t>Further Advance</t>
  </si>
  <si>
    <r>
      <t>Product</t>
    </r>
    <r>
      <rPr>
        <sz val="11"/>
        <color rgb="FF4472C4"/>
        <rFont val="Calibri"/>
        <family val="2"/>
        <scheme val="minor"/>
      </rPr>
      <t>: Multiple choice</t>
    </r>
  </si>
  <si>
    <t>Fixed for less than 5 years</t>
  </si>
  <si>
    <t>Tracker or Variable</t>
  </si>
  <si>
    <r>
      <t>Loan Purpose</t>
    </r>
    <r>
      <rPr>
        <sz val="11"/>
        <color rgb="FF4472C4"/>
        <rFont val="Calibri"/>
        <family val="2"/>
        <scheme val="minor"/>
      </rPr>
      <t>: Multiple choice</t>
    </r>
  </si>
  <si>
    <t>Loan Purpose2:</t>
  </si>
  <si>
    <t>Remortgage a BTL (without additional borrowing)</t>
  </si>
  <si>
    <t>LFL</t>
  </si>
  <si>
    <t>Remortgage a BTL (with additional borrowing)</t>
  </si>
  <si>
    <t>Non-LFL</t>
  </si>
  <si>
    <t>Remortgage my home as a BTL</t>
  </si>
  <si>
    <t>Purchase a new property</t>
  </si>
  <si>
    <r>
      <t xml:space="preserve">Ownership type: </t>
    </r>
    <r>
      <rPr>
        <sz val="11"/>
        <color rgb="FF4472C4"/>
        <rFont val="Calibri"/>
        <family val="2"/>
        <scheme val="minor"/>
      </rPr>
      <t>Multiple choice</t>
    </r>
  </si>
  <si>
    <t>Owned in a Limited Company</t>
  </si>
  <si>
    <r>
      <t xml:space="preserve">Property Type: </t>
    </r>
    <r>
      <rPr>
        <sz val="11"/>
        <color rgb="FF4472C4"/>
        <rFont val="Calibri"/>
        <family val="2"/>
        <scheme val="minor"/>
      </rPr>
      <t>Multiple choice</t>
    </r>
  </si>
  <si>
    <t>House in Multiple Occupation</t>
  </si>
  <si>
    <r>
      <t>Portfolio Size</t>
    </r>
    <r>
      <rPr>
        <sz val="11"/>
        <color theme="1"/>
        <rFont val="Calibri"/>
        <family val="2"/>
        <scheme val="minor"/>
      </rPr>
      <t xml:space="preserve">: </t>
    </r>
    <r>
      <rPr>
        <sz val="11"/>
        <color rgb="FF4472C4"/>
        <rFont val="Calibri"/>
        <family val="2"/>
        <scheme val="minor"/>
      </rPr>
      <t>Multiple choice</t>
    </r>
  </si>
  <si>
    <t>4 or more properties at completion</t>
  </si>
  <si>
    <r>
      <t>Tax Status</t>
    </r>
    <r>
      <rPr>
        <sz val="11"/>
        <color rgb="FF4472C4"/>
        <rFont val="Calibri"/>
        <family val="2"/>
        <scheme val="minor"/>
      </rPr>
      <t>: Multiple choice</t>
    </r>
  </si>
  <si>
    <t>At least 1 applicant is Higher Rate</t>
  </si>
  <si>
    <r>
      <t xml:space="preserve">Are either applicant an experienced Landlords: </t>
    </r>
    <r>
      <rPr>
        <sz val="11"/>
        <color rgb="FF4472C4"/>
        <rFont val="Calibri"/>
        <family val="2"/>
        <scheme val="minor"/>
      </rPr>
      <t>Multiple choice</t>
    </r>
  </si>
  <si>
    <t>No</t>
  </si>
  <si>
    <r>
      <t>Existing TMW borrowing</t>
    </r>
    <r>
      <rPr>
        <sz val="11"/>
        <color rgb="FF4472C4"/>
        <rFont val="Calibri"/>
        <family val="2"/>
        <scheme val="minor"/>
      </rPr>
      <t>: Multiple choice</t>
    </r>
  </si>
  <si>
    <t>£750,001 - £1,000,000</t>
  </si>
  <si>
    <r>
      <t>Pay Rate</t>
    </r>
    <r>
      <rPr>
        <sz val="11"/>
        <color rgb="FF4472C4"/>
        <rFont val="Calibri"/>
        <family val="2"/>
        <scheme val="minor"/>
      </rPr>
      <t>: %Numeric</t>
    </r>
  </si>
  <si>
    <r>
      <t>LTV1</t>
    </r>
    <r>
      <rPr>
        <sz val="11"/>
        <rFont val="Calibri"/>
        <family val="2"/>
        <scheme val="minor"/>
      </rPr>
      <t xml:space="preserve">: </t>
    </r>
  </si>
  <si>
    <r>
      <t>LTV2</t>
    </r>
    <r>
      <rPr>
        <sz val="11"/>
        <rFont val="Calibri"/>
        <family val="2"/>
        <scheme val="minor"/>
      </rPr>
      <t xml:space="preserve">: </t>
    </r>
  </si>
  <si>
    <t xml:space="preserve">Product Fee </t>
  </si>
  <si>
    <t>Ownership type:</t>
  </si>
  <si>
    <t>Product</t>
  </si>
  <si>
    <t>LTV 2</t>
  </si>
  <si>
    <t>Stress Rate Concat</t>
  </si>
  <si>
    <t>Stress Rate</t>
  </si>
  <si>
    <t>LTV</t>
  </si>
  <si>
    <t>Ownership type</t>
  </si>
  <si>
    <t>Property Type</t>
  </si>
  <si>
    <t>Portfolio Size</t>
  </si>
  <si>
    <t>Tax Status</t>
  </si>
  <si>
    <t>ICR Concat</t>
  </si>
  <si>
    <t>Have either applicant owned and…</t>
  </si>
  <si>
    <t>Property Cap Concat</t>
  </si>
  <si>
    <t>Maximum Property Loan</t>
  </si>
  <si>
    <t>Existing TMW borrowing</t>
  </si>
  <si>
    <t>Max Loan (Fee upfront)</t>
  </si>
  <si>
    <t>Max Loan (Fee added, Inc Fee)</t>
  </si>
  <si>
    <t>How will the product fee be paid?</t>
  </si>
  <si>
    <t>Deducted from the advance</t>
  </si>
  <si>
    <t>Added to the loan</t>
  </si>
  <si>
    <t xml:space="preserve">Funds to be released </t>
  </si>
  <si>
    <t>Maximum Further Advance</t>
  </si>
  <si>
    <t>Product fee included in the loan</t>
  </si>
  <si>
    <t>Product fee deducted from the advance</t>
  </si>
  <si>
    <t>LTV Cap (Fee upfront)</t>
  </si>
  <si>
    <t>LTV Cap (Fee added, Inc Fee)</t>
  </si>
  <si>
    <t>Funds to be released</t>
  </si>
  <si>
    <t>LTV Band</t>
  </si>
  <si>
    <t>Product Fee (£ Value)</t>
  </si>
  <si>
    <t>LTV (%)</t>
  </si>
  <si>
    <t xml:space="preserve">CALCULATION STEPS </t>
  </si>
  <si>
    <t xml:space="preserve">TMW Direct use only. </t>
  </si>
  <si>
    <t>Zero Checks between MA &amp; SA tabs</t>
  </si>
  <si>
    <t>£1,000,001 - £3,000,000</t>
  </si>
  <si>
    <t>£3,000,001 - £5,000,000</t>
  </si>
  <si>
    <t>£5,000,001 - £7,500,000</t>
  </si>
  <si>
    <t>Stress Rate (ML5)</t>
  </si>
  <si>
    <t>Stress Rate (ML6)</t>
  </si>
  <si>
    <t>Existing Loan Element 6</t>
  </si>
  <si>
    <t>Existing Loan Element 5</t>
  </si>
  <si>
    <r>
      <rPr>
        <b/>
        <sz val="16"/>
        <color rgb="FFFF0000"/>
        <rFont val="Arial"/>
        <family val="2"/>
      </rPr>
      <t xml:space="preserve">Direct only: </t>
    </r>
    <r>
      <rPr>
        <sz val="12"/>
        <color theme="1"/>
        <rFont val="Arial"/>
        <family val="2"/>
      </rPr>
      <t xml:space="preserve">
</t>
    </r>
    <r>
      <rPr>
        <sz val="14"/>
        <color theme="1"/>
        <rFont val="Arial"/>
        <family val="2"/>
      </rPr>
      <t>For applicants who are applying under the simultaneous switch and further advance process. Key the existing products in the calculator based on the product that will be selected for those existing loan elements</t>
    </r>
  </si>
  <si>
    <r>
      <rPr>
        <b/>
        <sz val="16"/>
        <color rgb="FFFF0000"/>
        <rFont val="Arial"/>
        <family val="2"/>
      </rPr>
      <t xml:space="preserve">Direct only: </t>
    </r>
    <r>
      <rPr>
        <sz val="16"/>
        <color theme="1"/>
        <rFont val="Arial"/>
        <family val="2"/>
      </rPr>
      <t xml:space="preserve">
</t>
    </r>
    <r>
      <rPr>
        <sz val="14"/>
        <color theme="1"/>
        <rFont val="Arial"/>
        <family val="2"/>
      </rPr>
      <t>For applicants who are applying under the simultaneous switch and further advance process. Key the existing products in the calculator based on the product that will be selected for those existing loan elements</t>
    </r>
  </si>
  <si>
    <r>
      <t xml:space="preserve">
This calculator is for use by intermediaries only. </t>
    </r>
    <r>
      <rPr>
        <b/>
        <sz val="9"/>
        <color rgb="FF000000"/>
        <rFont val="Arial"/>
        <family val="2"/>
      </rPr>
      <t>The calculation is indicative and subject to underwriting.</t>
    </r>
    <r>
      <rPr>
        <sz val="9"/>
        <color rgb="FF000000"/>
        <rFont val="Arial"/>
        <family val="2"/>
      </rPr>
      <t xml:space="preserve"> 
The Mortgage Works (UK) plc (Company No. 2222856) is a wholly owned subsidiary of Nationwide Building Society and is authorised and regulated by 
the Financial Conduct Authority (FCA) under registration number 189623. You can confirm our registration on the FCA’s website www.fca.org.uk. 
Registered office: Nationwide House, Pipers Way, Swindon, SN38 1NW. Registered in England. Company Registration Number 2222856. 
Applications are required. Standard terms and conditions available on request.
All information correct at time of publication (February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</si>
</sst>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0.0%"/>
    <numFmt numFmtId="165" formatCode="&quot;£&quot;#,##0"/>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4472C4"/>
      <name val="Calibri"/>
      <family val="2"/>
      <scheme val="minor"/>
    </font>
    <font>
      <sz val="11"/>
      <color rgb="FF4472C4"/>
      <name val="Calibri"/>
      <family val="2"/>
      <scheme val="minor"/>
    </font>
    <font>
      <sz val="11"/>
      <name val="Calibri"/>
      <family val="2"/>
      <scheme val="minor"/>
    </font>
    <font>
      <sz val="11"/>
      <color rgb="FF7030A0"/>
      <name val="Calibri"/>
      <family val="2"/>
      <scheme val="minor"/>
    </font>
    <font>
      <sz val="8"/>
      <name val="Calibri"/>
      <family val="2"/>
      <scheme val="minor"/>
    </font>
    <font>
      <b/>
      <sz val="11"/>
      <name val="Calibri"/>
      <family val="2"/>
      <scheme val="minor"/>
    </font>
    <font>
      <sz val="11"/>
      <color rgb="FF92D050"/>
      <name val="Calibri"/>
      <family val="2"/>
      <scheme val="minor"/>
    </font>
    <font>
      <sz val="11"/>
      <color rgb="FFFFC000"/>
      <name val="Calibri"/>
      <family val="2"/>
      <scheme val="minor"/>
    </font>
    <font>
      <b/>
      <sz val="18"/>
      <color theme="0"/>
      <name val="Arial"/>
      <family val="2"/>
    </font>
    <font>
      <sz val="12"/>
      <name val="Arial"/>
      <family val="2"/>
    </font>
    <font>
      <sz val="11"/>
      <color theme="1"/>
      <name val="Arial"/>
      <family val="2"/>
    </font>
    <font>
      <sz val="11"/>
      <color rgb="FFFFFFFF"/>
      <name val="Arial"/>
      <family val="2"/>
    </font>
    <font>
      <sz val="11"/>
      <color rgb="FF7030A0"/>
      <name val="Arial"/>
      <family val="2"/>
    </font>
    <font>
      <sz val="11"/>
      <color rgb="FFFF0000"/>
      <name val="Arial"/>
      <family val="2"/>
    </font>
    <font>
      <sz val="11"/>
      <color theme="9"/>
      <name val="Arial"/>
      <family val="2"/>
    </font>
    <font>
      <sz val="11"/>
      <color theme="7"/>
      <name val="Arial"/>
      <family val="2"/>
    </font>
    <font>
      <sz val="11"/>
      <color rgb="FFD6D6D6"/>
      <name val="Arial"/>
      <family val="2"/>
    </font>
    <font>
      <sz val="11"/>
      <color rgb="FF4472C4"/>
      <name val="Arial"/>
      <family val="2"/>
    </font>
    <font>
      <sz val="11"/>
      <color theme="0"/>
      <name val="Arial"/>
      <family val="2"/>
    </font>
    <font>
      <sz val="12"/>
      <color theme="1"/>
      <name val="Arial"/>
      <family val="2"/>
    </font>
    <font>
      <b/>
      <sz val="12"/>
      <name val="Arial"/>
      <family val="2"/>
    </font>
    <font>
      <sz val="9"/>
      <color theme="1"/>
      <name val="Arial"/>
      <family val="2"/>
    </font>
    <font>
      <b/>
      <sz val="11"/>
      <color rgb="FF7030A0"/>
      <name val="Calibri"/>
      <family val="2"/>
      <scheme val="minor"/>
    </font>
    <font>
      <b/>
      <sz val="22"/>
      <color theme="0"/>
      <name val="Georgia"/>
      <family val="1"/>
    </font>
    <font>
      <sz val="14"/>
      <color theme="0"/>
      <name val="Arial"/>
      <family val="2"/>
    </font>
    <font>
      <sz val="18"/>
      <color theme="0"/>
      <name val="Arial"/>
      <family val="2"/>
    </font>
    <font>
      <b/>
      <sz val="22"/>
      <color rgb="FFFFFFFF"/>
      <name val="Georgia"/>
      <family val="1"/>
    </font>
    <font>
      <sz val="9"/>
      <color rgb="FF000000"/>
      <name val="Arial"/>
      <family val="2"/>
    </font>
    <font>
      <b/>
      <sz val="9"/>
      <color rgb="FF000000"/>
      <name val="Arial"/>
      <family val="2"/>
    </font>
    <font>
      <sz val="14"/>
      <color rgb="FFFFFFFF"/>
      <name val="Arial"/>
      <family val="2"/>
    </font>
    <font>
      <sz val="14"/>
      <color rgb="FFFFFFFF"/>
      <name val="Arial"/>
      <family val="2"/>
    </font>
    <font>
      <b/>
      <sz val="14"/>
      <color theme="0"/>
      <name val="Arial"/>
      <family val="2"/>
    </font>
    <font>
      <b/>
      <sz val="14"/>
      <color rgb="FFFFFFFF"/>
      <name val="Arial"/>
      <family val="2"/>
    </font>
    <font>
      <sz val="11"/>
      <name val="Arial"/>
      <family val="2"/>
    </font>
    <font>
      <sz val="11"/>
      <color rgb="FFEE0000"/>
      <name val="Arial"/>
      <family val="2"/>
    </font>
    <font>
      <sz val="11"/>
      <color rgb="FF00B050"/>
      <name val="Arial"/>
      <family val="2"/>
    </font>
    <font>
      <sz val="11"/>
      <color rgb="FFFF8811"/>
      <name val="Arial"/>
      <family val="2"/>
    </font>
    <font>
      <sz val="14"/>
      <name val="Arial"/>
      <family val="2"/>
    </font>
    <font>
      <b/>
      <sz val="14"/>
      <name val="Arial"/>
      <family val="2"/>
    </font>
    <font>
      <b/>
      <sz val="22"/>
      <color theme="0"/>
      <name val="Arial"/>
      <family val="2"/>
    </font>
    <font>
      <b/>
      <sz val="11"/>
      <color rgb="FFFF0000"/>
      <name val="Arial"/>
      <family val="2"/>
    </font>
    <font>
      <sz val="16"/>
      <color theme="1"/>
      <name val="Arial"/>
      <family val="2"/>
    </font>
    <font>
      <sz val="16"/>
      <color theme="1"/>
      <name val="Arial"/>
      <family val="2"/>
    </font>
    <font>
      <b/>
      <sz val="16"/>
      <color rgb="FFFF0000"/>
      <name val="Arial"/>
      <family val="2"/>
    </font>
    <font>
      <sz val="14"/>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24444"/>
        <bgColor indexed="64"/>
      </patternFill>
    </fill>
    <fill>
      <patternFill patternType="solid">
        <fgColor rgb="FFFFFF00"/>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left/>
      <right style="medium">
        <color theme="1"/>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xf>
    <xf numFmtId="10" fontId="0" fillId="0" borderId="0" xfId="2" applyNumberFormat="1" applyFont="1"/>
    <xf numFmtId="0" fontId="4" fillId="0" borderId="1" xfId="0" applyFont="1" applyBorder="1" applyAlignment="1">
      <alignment vertical="center" wrapText="1"/>
    </xf>
    <xf numFmtId="0" fontId="5" fillId="0" borderId="3" xfId="0" applyFont="1" applyBorder="1" applyAlignment="1">
      <alignment vertical="center" wrapText="1"/>
    </xf>
    <xf numFmtId="0" fontId="4" fillId="0" borderId="11" xfId="0" applyFont="1" applyBorder="1" applyAlignment="1">
      <alignment vertical="center" wrapText="1"/>
    </xf>
    <xf numFmtId="10" fontId="2" fillId="0" borderId="9" xfId="2" applyNumberFormat="1" applyFont="1" applyBorder="1" applyAlignment="1">
      <alignment vertical="center" wrapText="1"/>
    </xf>
    <xf numFmtId="10" fontId="2" fillId="0" borderId="10" xfId="2" applyNumberFormat="1" applyFont="1" applyBorder="1" applyAlignment="1">
      <alignment vertical="center" wrapText="1"/>
    </xf>
    <xf numFmtId="0" fontId="4" fillId="0" borderId="16" xfId="0" applyFont="1" applyBorder="1" applyAlignment="1">
      <alignment vertical="center" wrapText="1"/>
    </xf>
    <xf numFmtId="10" fontId="2" fillId="0" borderId="17" xfId="2" applyNumberFormat="1" applyFont="1" applyBorder="1" applyAlignment="1">
      <alignment vertical="center" wrapText="1"/>
    </xf>
    <xf numFmtId="10" fontId="2" fillId="0" borderId="13" xfId="2" applyNumberFormat="1" applyFont="1" applyBorder="1" applyAlignment="1">
      <alignment vertical="center" wrapText="1"/>
    </xf>
    <xf numFmtId="9" fontId="6" fillId="0" borderId="18" xfId="0" applyNumberFormat="1" applyFont="1" applyBorder="1" applyAlignment="1">
      <alignment vertical="center" wrapText="1"/>
    </xf>
    <xf numFmtId="9" fontId="6" fillId="0" borderId="19" xfId="0" applyNumberFormat="1" applyFont="1" applyBorder="1" applyAlignment="1">
      <alignment vertical="center" wrapText="1"/>
    </xf>
    <xf numFmtId="9" fontId="6" fillId="0" borderId="20" xfId="0" applyNumberFormat="1" applyFont="1" applyBorder="1" applyAlignment="1">
      <alignment vertical="center" wrapText="1"/>
    </xf>
    <xf numFmtId="0" fontId="6" fillId="0" borderId="0" xfId="0" applyFont="1"/>
    <xf numFmtId="0" fontId="7" fillId="0" borderId="11"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14" xfId="0" applyFont="1" applyBorder="1" applyAlignment="1">
      <alignment vertical="center" wrapText="1"/>
    </xf>
    <xf numFmtId="9" fontId="7" fillId="0" borderId="15" xfId="0" applyNumberFormat="1" applyFont="1" applyBorder="1" applyAlignment="1">
      <alignment vertical="center" wrapText="1"/>
    </xf>
    <xf numFmtId="0" fontId="9" fillId="0" borderId="11" xfId="0" applyFont="1" applyBorder="1" applyAlignment="1">
      <alignment vertical="center" wrapText="1"/>
    </xf>
    <xf numFmtId="0" fontId="6" fillId="0" borderId="30" xfId="0" applyFont="1" applyBorder="1" applyAlignment="1">
      <alignment vertical="center" wrapText="1"/>
    </xf>
    <xf numFmtId="0" fontId="3" fillId="0" borderId="0" xfId="0" applyFont="1"/>
    <xf numFmtId="0" fontId="10" fillId="0" borderId="11" xfId="0" applyFont="1" applyBorder="1" applyAlignment="1">
      <alignment vertical="center" wrapText="1"/>
    </xf>
    <xf numFmtId="6" fontId="10" fillId="0" borderId="9" xfId="0" applyNumberFormat="1" applyFont="1" applyBorder="1" applyAlignment="1">
      <alignment vertical="center" wrapText="1"/>
    </xf>
    <xf numFmtId="6" fontId="10" fillId="0" borderId="10" xfId="0" applyNumberFormat="1" applyFont="1" applyBorder="1" applyAlignment="1">
      <alignment vertical="center" wrapText="1"/>
    </xf>
    <xf numFmtId="6" fontId="10" fillId="0" borderId="13" xfId="0" applyNumberFormat="1" applyFont="1" applyBorder="1" applyAlignment="1">
      <alignment vertical="center" wrapText="1"/>
    </xf>
    <xf numFmtId="0" fontId="6" fillId="0" borderId="11" xfId="0" applyFont="1" applyBorder="1" applyAlignment="1">
      <alignment vertical="center" wrapText="1"/>
    </xf>
    <xf numFmtId="0" fontId="11" fillId="0" borderId="2" xfId="0" applyFont="1" applyBorder="1" applyAlignment="1">
      <alignment vertical="center" wrapText="1"/>
    </xf>
    <xf numFmtId="9" fontId="11" fillId="0" borderId="4" xfId="0" applyNumberFormat="1" applyFont="1" applyBorder="1" applyAlignment="1">
      <alignment vertical="center" wrapText="1"/>
    </xf>
    <xf numFmtId="0" fontId="6" fillId="0" borderId="0" xfId="0" applyFont="1" applyAlignment="1">
      <alignment horizontal="left"/>
    </xf>
    <xf numFmtId="0" fontId="6" fillId="0" borderId="11" xfId="0" applyFont="1" applyBorder="1" applyAlignment="1">
      <alignment horizontal="left" vertical="center" wrapText="1"/>
    </xf>
    <xf numFmtId="0" fontId="9" fillId="0" borderId="0" xfId="0" applyFont="1"/>
    <xf numFmtId="0" fontId="0" fillId="0" borderId="0" xfId="0" applyAlignment="1">
      <alignment horizontal="left"/>
    </xf>
    <xf numFmtId="43" fontId="0" fillId="0" borderId="0" xfId="1" applyFont="1" applyAlignment="1">
      <alignment horizontal="left"/>
    </xf>
    <xf numFmtId="0" fontId="4" fillId="0" borderId="14" xfId="0" applyFont="1" applyBorder="1" applyAlignment="1">
      <alignment vertical="center" wrapText="1"/>
    </xf>
    <xf numFmtId="9" fontId="6" fillId="0" borderId="6" xfId="0" applyNumberFormat="1" applyFont="1" applyBorder="1" applyAlignment="1">
      <alignment vertical="center" wrapText="1"/>
    </xf>
    <xf numFmtId="9" fontId="6" fillId="0" borderId="8" xfId="0" applyNumberFormat="1" applyFont="1" applyBorder="1" applyAlignment="1">
      <alignment vertical="center" wrapText="1"/>
    </xf>
    <xf numFmtId="9" fontId="6" fillId="0" borderId="12" xfId="0" applyNumberFormat="1" applyFont="1" applyBorder="1" applyAlignment="1">
      <alignment vertical="center" wrapText="1"/>
    </xf>
    <xf numFmtId="0" fontId="6" fillId="0" borderId="16" xfId="0" applyFont="1" applyBorder="1" applyAlignment="1">
      <alignment vertical="center" wrapText="1"/>
    </xf>
    <xf numFmtId="9" fontId="6" fillId="0" borderId="37" xfId="0" applyNumberFormat="1" applyFont="1" applyBorder="1" applyAlignment="1">
      <alignment horizontal="left" vertical="center" wrapText="1"/>
    </xf>
    <xf numFmtId="9" fontId="6" fillId="0" borderId="38" xfId="0" applyNumberFormat="1" applyFont="1" applyBorder="1" applyAlignment="1">
      <alignment horizontal="left" vertical="center" wrapText="1"/>
    </xf>
    <xf numFmtId="9" fontId="6" fillId="0" borderId="39" xfId="0" applyNumberFormat="1" applyFont="1" applyBorder="1" applyAlignment="1">
      <alignment horizontal="left" vertical="center" wrapText="1"/>
    </xf>
    <xf numFmtId="0" fontId="5" fillId="0" borderId="40"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14" fillId="0" borderId="0" xfId="0" applyFont="1"/>
    <xf numFmtId="20" fontId="15" fillId="0" borderId="0" xfId="0" applyNumberFormat="1" applyFont="1" applyAlignment="1">
      <alignment vertical="center"/>
    </xf>
    <xf numFmtId="0" fontId="14" fillId="3" borderId="31" xfId="0" applyFont="1" applyFill="1" applyBorder="1"/>
    <xf numFmtId="0" fontId="12" fillId="3" borderId="0" xfId="0" applyFont="1" applyFill="1"/>
    <xf numFmtId="0" fontId="14" fillId="3" borderId="0" xfId="0" applyFont="1" applyFill="1"/>
    <xf numFmtId="0" fontId="14" fillId="3" borderId="5" xfId="0" applyFont="1" applyFill="1" applyBorder="1"/>
    <xf numFmtId="0" fontId="14" fillId="0" borderId="0" xfId="0" applyFont="1" applyAlignment="1">
      <alignment vertical="center"/>
    </xf>
    <xf numFmtId="0" fontId="20" fillId="0" borderId="0" xfId="0" applyFont="1" applyAlignment="1">
      <alignment vertical="center"/>
    </xf>
    <xf numFmtId="0" fontId="21" fillId="3" borderId="0" xfId="0" applyFont="1" applyFill="1" applyAlignment="1">
      <alignment vertical="center"/>
    </xf>
    <xf numFmtId="0" fontId="22" fillId="0" borderId="0" xfId="0" applyFont="1"/>
    <xf numFmtId="0" fontId="21" fillId="0" borderId="0" xfId="0" applyFont="1" applyAlignment="1">
      <alignment vertical="center"/>
    </xf>
    <xf numFmtId="0" fontId="13" fillId="3" borderId="0" xfId="0" applyFont="1" applyFill="1" applyAlignment="1">
      <alignment vertical="center"/>
    </xf>
    <xf numFmtId="6" fontId="23" fillId="2" borderId="36" xfId="0" applyNumberFormat="1" applyFont="1" applyFill="1" applyBorder="1" applyAlignment="1" applyProtection="1">
      <alignment horizontal="left" vertical="center"/>
      <protection locked="0"/>
    </xf>
    <xf numFmtId="165" fontId="23" fillId="2" borderId="36" xfId="0" applyNumberFormat="1" applyFont="1" applyFill="1" applyBorder="1" applyAlignment="1" applyProtection="1">
      <alignment horizontal="left" vertical="center"/>
      <protection locked="0"/>
    </xf>
    <xf numFmtId="10" fontId="23" fillId="2" borderId="36" xfId="2" applyNumberFormat="1" applyFont="1" applyFill="1" applyBorder="1" applyAlignment="1" applyProtection="1">
      <alignment horizontal="left" vertical="center"/>
      <protection locked="0"/>
    </xf>
    <xf numFmtId="0" fontId="23" fillId="3" borderId="0" xfId="0" applyFont="1" applyFill="1" applyAlignment="1">
      <alignment vertical="center"/>
    </xf>
    <xf numFmtId="0" fontId="23" fillId="2" borderId="36" xfId="0" applyFont="1" applyFill="1" applyBorder="1" applyAlignment="1" applyProtection="1">
      <alignment vertical="center"/>
      <protection locked="0"/>
    </xf>
    <xf numFmtId="0" fontId="24" fillId="3" borderId="0" xfId="0" applyFont="1" applyFill="1" applyAlignment="1">
      <alignment vertical="center"/>
    </xf>
    <xf numFmtId="0" fontId="14" fillId="0" borderId="0" xfId="0" applyFont="1" applyProtection="1">
      <protection hidden="1"/>
    </xf>
    <xf numFmtId="0" fontId="14" fillId="3" borderId="33" xfId="0" applyFont="1" applyFill="1" applyBorder="1" applyProtection="1">
      <protection hidden="1"/>
    </xf>
    <xf numFmtId="0" fontId="14" fillId="3" borderId="34" xfId="0" applyFont="1" applyFill="1" applyBorder="1" applyProtection="1">
      <protection hidden="1"/>
    </xf>
    <xf numFmtId="0" fontId="14" fillId="3" borderId="7" xfId="0" applyFont="1" applyFill="1" applyBorder="1" applyProtection="1">
      <protection hidden="1"/>
    </xf>
    <xf numFmtId="0" fontId="14" fillId="3" borderId="31" xfId="0" applyFont="1" applyFill="1" applyBorder="1" applyProtection="1">
      <protection hidden="1"/>
    </xf>
    <xf numFmtId="9" fontId="14" fillId="3" borderId="0" xfId="0" applyNumberFormat="1" applyFont="1" applyFill="1" applyAlignment="1" applyProtection="1">
      <alignment horizontal="center" vertical="center"/>
      <protection hidden="1"/>
    </xf>
    <xf numFmtId="9" fontId="14" fillId="3" borderId="5" xfId="0" applyNumberFormat="1" applyFont="1" applyFill="1" applyBorder="1" applyAlignment="1" applyProtection="1">
      <alignment horizontal="center" vertical="center"/>
      <protection hidden="1"/>
    </xf>
    <xf numFmtId="0" fontId="14" fillId="0" borderId="31" xfId="0" applyFont="1" applyBorder="1" applyProtection="1">
      <protection hidden="1"/>
    </xf>
    <xf numFmtId="0" fontId="14" fillId="0" borderId="0" xfId="0" applyFont="1" applyAlignment="1" applyProtection="1">
      <alignment horizontal="center" vertical="center"/>
      <protection hidden="1"/>
    </xf>
    <xf numFmtId="0" fontId="16" fillId="3" borderId="31" xfId="0" applyFont="1" applyFill="1" applyBorder="1" applyProtection="1">
      <protection hidden="1"/>
    </xf>
    <xf numFmtId="9" fontId="16" fillId="3" borderId="0" xfId="2" applyFont="1" applyFill="1" applyBorder="1" applyAlignment="1" applyProtection="1">
      <alignment horizontal="center"/>
      <protection hidden="1"/>
    </xf>
    <xf numFmtId="9" fontId="16" fillId="3" borderId="5" xfId="2" applyFont="1" applyFill="1" applyBorder="1" applyAlignment="1" applyProtection="1">
      <alignment horizontal="center"/>
      <protection hidden="1"/>
    </xf>
    <xf numFmtId="0" fontId="17" fillId="3" borderId="31" xfId="0" applyFont="1" applyFill="1" applyBorder="1" applyProtection="1">
      <protection hidden="1"/>
    </xf>
    <xf numFmtId="10" fontId="17" fillId="3" borderId="0" xfId="2" applyNumberFormat="1" applyFont="1" applyFill="1" applyBorder="1" applyAlignment="1" applyProtection="1">
      <alignment horizontal="center"/>
      <protection hidden="1"/>
    </xf>
    <xf numFmtId="10" fontId="17" fillId="3" borderId="5" xfId="2" applyNumberFormat="1" applyFont="1" applyFill="1" applyBorder="1" applyAlignment="1" applyProtection="1">
      <alignment horizontal="center"/>
      <protection hidden="1"/>
    </xf>
    <xf numFmtId="10" fontId="17" fillId="0" borderId="0" xfId="2" applyNumberFormat="1" applyFont="1" applyFill="1" applyBorder="1" applyAlignment="1" applyProtection="1">
      <alignment horizontal="center"/>
      <protection hidden="1"/>
    </xf>
    <xf numFmtId="10" fontId="17" fillId="0" borderId="5" xfId="2" applyNumberFormat="1" applyFont="1" applyFill="1" applyBorder="1" applyAlignment="1" applyProtection="1">
      <alignment horizontal="center"/>
      <protection hidden="1"/>
    </xf>
    <xf numFmtId="10" fontId="17" fillId="0" borderId="0" xfId="2" applyNumberFormat="1" applyFont="1" applyFill="1" applyBorder="1" applyAlignment="1" applyProtection="1">
      <alignment horizontal="center" vertical="center"/>
      <protection hidden="1"/>
    </xf>
    <xf numFmtId="10" fontId="17" fillId="0" borderId="5" xfId="2" applyNumberFormat="1" applyFont="1" applyFill="1" applyBorder="1" applyAlignment="1" applyProtection="1">
      <alignment horizontal="center" vertical="center"/>
      <protection hidden="1"/>
    </xf>
    <xf numFmtId="165" fontId="14" fillId="0" borderId="0" xfId="0" applyNumberFormat="1" applyFont="1" applyAlignment="1" applyProtection="1">
      <alignment horizontal="center"/>
      <protection hidden="1"/>
    </xf>
    <xf numFmtId="165" fontId="14" fillId="0" borderId="5" xfId="0" applyNumberFormat="1" applyFont="1" applyBorder="1" applyAlignment="1" applyProtection="1">
      <alignment horizontal="center"/>
      <protection hidden="1"/>
    </xf>
    <xf numFmtId="165" fontId="14" fillId="3" borderId="0" xfId="0" applyNumberFormat="1" applyFont="1" applyFill="1" applyAlignment="1" applyProtection="1">
      <alignment horizontal="center"/>
      <protection hidden="1"/>
    </xf>
    <xf numFmtId="165" fontId="14" fillId="3" borderId="0" xfId="1" applyNumberFormat="1" applyFont="1" applyFill="1" applyBorder="1" applyAlignment="1" applyProtection="1">
      <alignment horizontal="center"/>
      <protection hidden="1"/>
    </xf>
    <xf numFmtId="0" fontId="18" fillId="3" borderId="31" xfId="0" applyFont="1" applyFill="1" applyBorder="1" applyProtection="1">
      <protection hidden="1"/>
    </xf>
    <xf numFmtId="165" fontId="18" fillId="3" borderId="0" xfId="1" applyNumberFormat="1" applyFont="1" applyFill="1" applyBorder="1" applyAlignment="1" applyProtection="1">
      <alignment horizontal="center"/>
      <protection hidden="1"/>
    </xf>
    <xf numFmtId="0" fontId="19" fillId="3" borderId="31" xfId="0" applyFont="1" applyFill="1" applyBorder="1" applyProtection="1">
      <protection hidden="1"/>
    </xf>
    <xf numFmtId="165" fontId="19" fillId="3" borderId="0" xfId="2" applyNumberFormat="1" applyFont="1" applyFill="1" applyBorder="1" applyAlignment="1" applyProtection="1">
      <alignment horizontal="center"/>
      <protection hidden="1"/>
    </xf>
    <xf numFmtId="0" fontId="14" fillId="3" borderId="0" xfId="0" applyFont="1" applyFill="1" applyAlignment="1" applyProtection="1">
      <alignment horizontal="center"/>
      <protection hidden="1"/>
    </xf>
    <xf numFmtId="0" fontId="14" fillId="0" borderId="5" xfId="0" applyFont="1" applyBorder="1" applyProtection="1">
      <protection hidden="1"/>
    </xf>
    <xf numFmtId="0" fontId="14" fillId="3" borderId="32" xfId="0" applyFont="1" applyFill="1" applyBorder="1" applyProtection="1">
      <protection hidden="1"/>
    </xf>
    <xf numFmtId="0" fontId="14" fillId="3" borderId="35" xfId="0" applyFont="1" applyFill="1" applyBorder="1" applyProtection="1">
      <protection hidden="1"/>
    </xf>
    <xf numFmtId="0" fontId="14" fillId="3" borderId="4" xfId="0" applyFont="1" applyFill="1" applyBorder="1" applyProtection="1">
      <protection hidden="1"/>
    </xf>
    <xf numFmtId="0" fontId="14" fillId="3" borderId="5" xfId="0" applyFont="1" applyFill="1" applyBorder="1" applyProtection="1">
      <protection hidden="1"/>
    </xf>
    <xf numFmtId="0" fontId="0" fillId="0" borderId="49" xfId="0" applyBorder="1"/>
    <xf numFmtId="0" fontId="7" fillId="0" borderId="0" xfId="0" applyFont="1"/>
    <xf numFmtId="9" fontId="26" fillId="0" borderId="50" xfId="2" applyFont="1" applyBorder="1" applyAlignment="1">
      <alignment vertical="center" wrapText="1"/>
    </xf>
    <xf numFmtId="9" fontId="7" fillId="0" borderId="29" xfId="2" applyFont="1" applyBorder="1" applyAlignment="1">
      <alignment vertical="center" wrapText="1"/>
    </xf>
    <xf numFmtId="9" fontId="7" fillId="0" borderId="51" xfId="2" applyFont="1" applyBorder="1" applyAlignment="1">
      <alignment vertical="center" wrapText="1"/>
    </xf>
    <xf numFmtId="9" fontId="7" fillId="0" borderId="24" xfId="2" applyFont="1" applyBorder="1" applyAlignment="1">
      <alignment vertical="center" wrapText="1"/>
    </xf>
    <xf numFmtId="9" fontId="7" fillId="0" borderId="0" xfId="2" applyFont="1"/>
    <xf numFmtId="0" fontId="4" fillId="0" borderId="52" xfId="0" applyFont="1" applyBorder="1" applyAlignment="1">
      <alignment vertical="center" wrapText="1"/>
    </xf>
    <xf numFmtId="9" fontId="26" fillId="0" borderId="53" xfId="2" applyFont="1" applyBorder="1" applyAlignment="1">
      <alignment vertical="center" wrapText="1"/>
    </xf>
    <xf numFmtId="9" fontId="7" fillId="0" borderId="26" xfId="2" applyFont="1" applyBorder="1" applyAlignment="1">
      <alignment vertical="center" wrapText="1"/>
    </xf>
    <xf numFmtId="9" fontId="7" fillId="0" borderId="27" xfId="2" applyFont="1" applyBorder="1" applyAlignment="1">
      <alignment vertical="center" wrapText="1"/>
    </xf>
    <xf numFmtId="9" fontId="7" fillId="0" borderId="28" xfId="2" applyFont="1" applyBorder="1" applyAlignment="1">
      <alignment vertical="center" wrapText="1"/>
    </xf>
    <xf numFmtId="0" fontId="4" fillId="0" borderId="53" xfId="0" applyFont="1" applyBorder="1" applyAlignment="1">
      <alignment vertical="center" wrapText="1"/>
    </xf>
    <xf numFmtId="0" fontId="5" fillId="0" borderId="54" xfId="0" applyFont="1" applyBorder="1" applyAlignment="1">
      <alignment vertical="center" wrapText="1"/>
    </xf>
    <xf numFmtId="9" fontId="7" fillId="0" borderId="42" xfId="2" applyFont="1" applyBorder="1" applyAlignment="1">
      <alignment vertical="center" wrapText="1"/>
    </xf>
    <xf numFmtId="9" fontId="6" fillId="0" borderId="11" xfId="0" applyNumberFormat="1" applyFont="1" applyBorder="1" applyAlignment="1">
      <alignment vertical="center" wrapText="1"/>
    </xf>
    <xf numFmtId="10" fontId="2" fillId="0" borderId="55" xfId="2" applyNumberFormat="1" applyFont="1" applyBorder="1" applyAlignment="1">
      <alignment vertical="center" wrapText="1"/>
    </xf>
    <xf numFmtId="9" fontId="7" fillId="0" borderId="54" xfId="2" applyFont="1" applyBorder="1" applyAlignment="1">
      <alignment vertical="center" wrapText="1"/>
    </xf>
    <xf numFmtId="0" fontId="5" fillId="0" borderId="43" xfId="0" applyFont="1" applyBorder="1" applyAlignment="1">
      <alignment vertical="center" wrapText="1"/>
    </xf>
    <xf numFmtId="0" fontId="22" fillId="4" borderId="33" xfId="0" applyFont="1" applyFill="1" applyBorder="1"/>
    <xf numFmtId="0" fontId="22" fillId="4" borderId="34" xfId="0" applyFont="1" applyFill="1" applyBorder="1"/>
    <xf numFmtId="0" fontId="22" fillId="4" borderId="7" xfId="0" applyFont="1" applyFill="1" applyBorder="1"/>
    <xf numFmtId="0" fontId="22" fillId="4" borderId="31" xfId="0" applyFont="1" applyFill="1" applyBorder="1"/>
    <xf numFmtId="0" fontId="27" fillId="4" borderId="0" xfId="0" applyFont="1" applyFill="1" applyAlignment="1">
      <alignment horizontal="left"/>
    </xf>
    <xf numFmtId="0" fontId="22" fillId="4" borderId="0" xfId="0" applyFont="1" applyFill="1"/>
    <xf numFmtId="0" fontId="22" fillId="4" borderId="5" xfId="0" applyFont="1" applyFill="1" applyBorder="1"/>
    <xf numFmtId="0" fontId="22" fillId="4" borderId="32" xfId="0" applyFont="1" applyFill="1" applyBorder="1"/>
    <xf numFmtId="0" fontId="14" fillId="4" borderId="33" xfId="0" applyFont="1" applyFill="1" applyBorder="1" applyProtection="1">
      <protection hidden="1"/>
    </xf>
    <xf numFmtId="0" fontId="14" fillId="4" borderId="34" xfId="0" applyFont="1" applyFill="1" applyBorder="1" applyProtection="1">
      <protection hidden="1"/>
    </xf>
    <xf numFmtId="0" fontId="14" fillId="4" borderId="7" xfId="0" applyFont="1" applyFill="1" applyBorder="1" applyProtection="1">
      <protection hidden="1"/>
    </xf>
    <xf numFmtId="0" fontId="14" fillId="4" borderId="31" xfId="0" applyFont="1" applyFill="1" applyBorder="1" applyProtection="1">
      <protection hidden="1"/>
    </xf>
    <xf numFmtId="0" fontId="14" fillId="4" borderId="0" xfId="0" applyFont="1" applyFill="1" applyProtection="1">
      <protection hidden="1"/>
    </xf>
    <xf numFmtId="0" fontId="14" fillId="4" borderId="5" xfId="0" applyFont="1" applyFill="1" applyBorder="1" applyProtection="1">
      <protection hidden="1"/>
    </xf>
    <xf numFmtId="0" fontId="22" fillId="4" borderId="34" xfId="0" applyFont="1" applyFill="1" applyBorder="1" applyAlignment="1">
      <alignment vertical="center"/>
    </xf>
    <xf numFmtId="0" fontId="22" fillId="4" borderId="31" xfId="0" applyFont="1" applyFill="1" applyBorder="1" applyProtection="1">
      <protection hidden="1"/>
    </xf>
    <xf numFmtId="0" fontId="22" fillId="4" borderId="0" xfId="0" applyFont="1" applyFill="1" applyProtection="1">
      <protection hidden="1"/>
    </xf>
    <xf numFmtId="0" fontId="22" fillId="4" borderId="5" xfId="0" applyFont="1" applyFill="1" applyBorder="1" applyProtection="1">
      <protection hidden="1"/>
    </xf>
    <xf numFmtId="0" fontId="22" fillId="4" borderId="4" xfId="0" applyFont="1" applyFill="1" applyBorder="1"/>
    <xf numFmtId="0" fontId="29" fillId="4" borderId="0" xfId="0" applyFont="1" applyFill="1" applyAlignment="1">
      <alignment vertical="center"/>
    </xf>
    <xf numFmtId="164" fontId="29" fillId="4" borderId="0" xfId="2" applyNumberFormat="1" applyFont="1" applyFill="1" applyBorder="1" applyAlignment="1">
      <alignment horizontal="center" vertical="center"/>
    </xf>
    <xf numFmtId="0" fontId="22" fillId="4" borderId="35" xfId="0" applyFont="1" applyFill="1" applyBorder="1"/>
    <xf numFmtId="0" fontId="22" fillId="4" borderId="33" xfId="0" applyFont="1" applyFill="1" applyBorder="1" applyProtection="1">
      <protection hidden="1"/>
    </xf>
    <xf numFmtId="0" fontId="22" fillId="4" borderId="34" xfId="0" applyFont="1" applyFill="1" applyBorder="1" applyProtection="1">
      <protection hidden="1"/>
    </xf>
    <xf numFmtId="0" fontId="22" fillId="4" borderId="7" xfId="0" applyFont="1" applyFill="1" applyBorder="1" applyProtection="1">
      <protection hidden="1"/>
    </xf>
    <xf numFmtId="0" fontId="5" fillId="0" borderId="51" xfId="0" applyFont="1" applyBorder="1" applyAlignment="1">
      <alignment vertical="center" wrapText="1"/>
    </xf>
    <xf numFmtId="0" fontId="5" fillId="0" borderId="42" xfId="0" applyFont="1" applyBorder="1" applyAlignment="1">
      <alignment vertical="center" wrapText="1"/>
    </xf>
    <xf numFmtId="0" fontId="4" fillId="0" borderId="34" xfId="0" applyFont="1" applyBorder="1" applyAlignment="1">
      <alignment vertical="center" wrapText="1"/>
    </xf>
    <xf numFmtId="43" fontId="14" fillId="0" borderId="5" xfId="1" applyFont="1" applyBorder="1" applyAlignment="1" applyProtection="1">
      <alignment horizontal="center" vertical="center"/>
      <protection hidden="1"/>
    </xf>
    <xf numFmtId="0" fontId="5" fillId="5" borderId="0" xfId="0" applyFont="1" applyFill="1" applyAlignment="1">
      <alignment vertical="center"/>
    </xf>
    <xf numFmtId="0" fontId="0" fillId="5" borderId="0" xfId="0" applyFill="1" applyAlignment="1">
      <alignment vertical="center" wrapText="1"/>
    </xf>
    <xf numFmtId="0" fontId="0" fillId="5" borderId="0" xfId="0" applyFill="1"/>
    <xf numFmtId="9" fontId="6" fillId="0" borderId="56" xfId="0" applyNumberFormat="1" applyFont="1" applyBorder="1" applyAlignment="1">
      <alignment vertical="center" wrapText="1"/>
    </xf>
    <xf numFmtId="9" fontId="7" fillId="0" borderId="40" xfId="2" applyFont="1" applyBorder="1" applyAlignment="1">
      <alignment vertical="center" wrapText="1"/>
    </xf>
    <xf numFmtId="0" fontId="5" fillId="0" borderId="47" xfId="0" applyFont="1" applyBorder="1" applyAlignment="1">
      <alignment vertical="center" wrapText="1"/>
    </xf>
    <xf numFmtId="10" fontId="2" fillId="0" borderId="57" xfId="2" applyNumberFormat="1" applyFont="1" applyBorder="1" applyAlignment="1">
      <alignment vertical="center" wrapText="1"/>
    </xf>
    <xf numFmtId="0" fontId="5" fillId="0" borderId="48" xfId="0" applyFont="1" applyBorder="1" applyAlignment="1">
      <alignment vertical="center" wrapText="1"/>
    </xf>
    <xf numFmtId="9" fontId="7" fillId="0" borderId="47" xfId="2" applyFont="1" applyBorder="1" applyAlignment="1">
      <alignment vertical="center" wrapText="1"/>
    </xf>
    <xf numFmtId="0" fontId="5" fillId="0" borderId="58" xfId="0" applyFont="1" applyBorder="1" applyAlignment="1">
      <alignment vertical="center" wrapText="1"/>
    </xf>
    <xf numFmtId="43" fontId="23" fillId="2" borderId="36" xfId="1" applyFont="1" applyFill="1" applyBorder="1" applyAlignment="1" applyProtection="1">
      <alignment horizontal="left" vertical="center"/>
      <protection locked="0"/>
    </xf>
    <xf numFmtId="0" fontId="37" fillId="3" borderId="31" xfId="0" applyFont="1" applyFill="1" applyBorder="1" applyProtection="1">
      <protection hidden="1"/>
    </xf>
    <xf numFmtId="165" fontId="37" fillId="0" borderId="5" xfId="0" applyNumberFormat="1" applyFont="1" applyBorder="1" applyAlignment="1" applyProtection="1">
      <alignment horizontal="center"/>
      <protection hidden="1"/>
    </xf>
    <xf numFmtId="9" fontId="37" fillId="3" borderId="5" xfId="0" applyNumberFormat="1" applyFont="1" applyFill="1" applyBorder="1" applyAlignment="1" applyProtection="1">
      <alignment horizontal="center" vertical="center"/>
      <protection hidden="1"/>
    </xf>
    <xf numFmtId="0" fontId="37" fillId="0" borderId="31" xfId="0" applyFont="1" applyBorder="1" applyProtection="1">
      <protection hidden="1"/>
    </xf>
    <xf numFmtId="43" fontId="37" fillId="0" borderId="5" xfId="1" applyFont="1" applyBorder="1" applyAlignment="1" applyProtection="1">
      <alignment horizontal="center" vertical="center"/>
      <protection hidden="1"/>
    </xf>
    <xf numFmtId="0" fontId="37" fillId="0" borderId="5" xfId="0" applyFont="1" applyBorder="1" applyProtection="1">
      <protection hidden="1"/>
    </xf>
    <xf numFmtId="165" fontId="37" fillId="3" borderId="5" xfId="0" applyNumberFormat="1" applyFont="1" applyFill="1" applyBorder="1" applyAlignment="1" applyProtection="1">
      <alignment horizontal="center"/>
      <protection hidden="1"/>
    </xf>
    <xf numFmtId="165" fontId="37" fillId="3" borderId="0" xfId="1" applyNumberFormat="1" applyFont="1" applyFill="1" applyBorder="1" applyAlignment="1" applyProtection="1">
      <alignment horizontal="center"/>
      <protection hidden="1"/>
    </xf>
    <xf numFmtId="165" fontId="37" fillId="0" borderId="0" xfId="1" applyNumberFormat="1" applyFont="1" applyFill="1" applyBorder="1" applyAlignment="1" applyProtection="1">
      <alignment horizontal="center"/>
      <protection hidden="1"/>
    </xf>
    <xf numFmtId="165" fontId="37" fillId="3" borderId="5" xfId="1" applyNumberFormat="1" applyFont="1" applyFill="1" applyBorder="1" applyAlignment="1" applyProtection="1">
      <alignment horizontal="center"/>
      <protection hidden="1"/>
    </xf>
    <xf numFmtId="165" fontId="37" fillId="3" borderId="5" xfId="2" applyNumberFormat="1" applyFont="1" applyFill="1" applyBorder="1" applyAlignment="1" applyProtection="1">
      <alignment horizontal="center"/>
      <protection hidden="1"/>
    </xf>
    <xf numFmtId="0" fontId="38" fillId="3" borderId="31" xfId="0" applyFont="1" applyFill="1" applyBorder="1" applyProtection="1">
      <protection hidden="1"/>
    </xf>
    <xf numFmtId="10" fontId="38" fillId="3" borderId="0" xfId="2" applyNumberFormat="1" applyFont="1" applyFill="1" applyBorder="1" applyAlignment="1" applyProtection="1">
      <alignment horizontal="center"/>
      <protection hidden="1"/>
    </xf>
    <xf numFmtId="10" fontId="38" fillId="3" borderId="5" xfId="2" applyNumberFormat="1" applyFont="1" applyFill="1" applyBorder="1" applyAlignment="1" applyProtection="1">
      <alignment horizontal="center"/>
      <protection hidden="1"/>
    </xf>
    <xf numFmtId="0" fontId="39" fillId="3" borderId="31" xfId="0" applyFont="1" applyFill="1" applyBorder="1" applyProtection="1">
      <protection hidden="1"/>
    </xf>
    <xf numFmtId="165" fontId="39" fillId="3" borderId="0" xfId="1" applyNumberFormat="1" applyFont="1" applyFill="1" applyBorder="1" applyAlignment="1" applyProtection="1">
      <alignment horizontal="center"/>
      <protection hidden="1"/>
    </xf>
    <xf numFmtId="165" fontId="39" fillId="3" borderId="5" xfId="1" applyNumberFormat="1" applyFont="1" applyFill="1" applyBorder="1" applyAlignment="1" applyProtection="1">
      <alignment horizontal="center"/>
      <protection hidden="1"/>
    </xf>
    <xf numFmtId="0" fontId="40" fillId="3" borderId="31" xfId="0" applyFont="1" applyFill="1" applyBorder="1" applyProtection="1">
      <protection hidden="1"/>
    </xf>
    <xf numFmtId="165" fontId="40" fillId="3" borderId="0" xfId="2" applyNumberFormat="1" applyFont="1" applyFill="1" applyBorder="1" applyAlignment="1" applyProtection="1">
      <alignment horizontal="center"/>
      <protection hidden="1"/>
    </xf>
    <xf numFmtId="165" fontId="40" fillId="3" borderId="5" xfId="2" applyNumberFormat="1" applyFont="1" applyFill="1" applyBorder="1" applyAlignment="1" applyProtection="1">
      <alignment horizontal="center"/>
      <protection hidden="1"/>
    </xf>
    <xf numFmtId="165" fontId="14" fillId="3" borderId="35" xfId="0" applyNumberFormat="1" applyFont="1" applyFill="1" applyBorder="1" applyProtection="1">
      <protection hidden="1"/>
    </xf>
    <xf numFmtId="0" fontId="30" fillId="4" borderId="0" xfId="0" applyFont="1" applyFill="1" applyAlignment="1">
      <alignment vertical="center" wrapText="1"/>
    </xf>
    <xf numFmtId="165" fontId="29" fillId="4" borderId="0" xfId="0" applyNumberFormat="1" applyFont="1" applyFill="1" applyAlignment="1">
      <alignment horizontal="center" vertical="center"/>
    </xf>
    <xf numFmtId="9" fontId="0" fillId="0" borderId="0" xfId="2" applyFont="1" applyAlignment="1">
      <alignment horizontal="center"/>
    </xf>
    <xf numFmtId="6" fontId="23" fillId="2" borderId="36" xfId="1" applyNumberFormat="1" applyFont="1" applyFill="1" applyBorder="1" applyAlignment="1" applyProtection="1">
      <alignment horizontal="left" vertical="center"/>
      <protection locked="0"/>
    </xf>
    <xf numFmtId="165" fontId="0" fillId="0" borderId="0" xfId="1" applyNumberFormat="1" applyFont="1" applyAlignment="1">
      <alignment horizontal="center"/>
    </xf>
    <xf numFmtId="9" fontId="37" fillId="3" borderId="0" xfId="0" applyNumberFormat="1" applyFont="1" applyFill="1" applyAlignment="1" applyProtection="1">
      <alignment horizontal="center" vertical="center"/>
      <protection hidden="1"/>
    </xf>
    <xf numFmtId="0" fontId="37" fillId="0" borderId="0" xfId="0" applyFont="1" applyAlignment="1" applyProtection="1">
      <alignment horizontal="center" vertical="center"/>
      <protection hidden="1"/>
    </xf>
    <xf numFmtId="165" fontId="37" fillId="0" borderId="0" xfId="0" applyNumberFormat="1" applyFont="1" applyAlignment="1" applyProtection="1">
      <alignment horizontal="center"/>
      <protection hidden="1"/>
    </xf>
    <xf numFmtId="0" fontId="37" fillId="0" borderId="0" xfId="0" applyFont="1" applyProtection="1">
      <protection hidden="1"/>
    </xf>
    <xf numFmtId="165" fontId="37" fillId="3" borderId="0" xfId="0" applyNumberFormat="1" applyFont="1" applyFill="1" applyAlignment="1" applyProtection="1">
      <alignment horizontal="center"/>
      <protection hidden="1"/>
    </xf>
    <xf numFmtId="6" fontId="37" fillId="3" borderId="0" xfId="0" applyNumberFormat="1" applyFont="1" applyFill="1" applyAlignment="1" applyProtection="1">
      <alignment horizontal="center"/>
      <protection hidden="1"/>
    </xf>
    <xf numFmtId="0" fontId="14" fillId="3" borderId="0" xfId="0" applyFont="1" applyFill="1" applyProtection="1">
      <protection hidden="1"/>
    </xf>
    <xf numFmtId="165" fontId="41" fillId="3" borderId="5" xfId="1" applyNumberFormat="1" applyFont="1" applyFill="1" applyBorder="1" applyAlignment="1" applyProtection="1">
      <alignment horizontal="center" vertical="center"/>
      <protection hidden="1"/>
    </xf>
    <xf numFmtId="0" fontId="37" fillId="3" borderId="35" xfId="0" applyFont="1" applyFill="1" applyBorder="1" applyProtection="1">
      <protection hidden="1"/>
    </xf>
    <xf numFmtId="0" fontId="37" fillId="3" borderId="4" xfId="0" applyFont="1" applyFill="1" applyBorder="1" applyProtection="1">
      <protection hidden="1"/>
    </xf>
    <xf numFmtId="165" fontId="41" fillId="3" borderId="5" xfId="0" applyNumberFormat="1" applyFont="1" applyFill="1" applyBorder="1" applyAlignment="1" applyProtection="1">
      <alignment horizontal="center" vertical="center"/>
      <protection hidden="1"/>
    </xf>
    <xf numFmtId="0" fontId="37" fillId="3" borderId="32" xfId="0" applyFont="1" applyFill="1" applyBorder="1" applyAlignment="1" applyProtection="1">
      <alignment horizontal="center"/>
      <protection hidden="1"/>
    </xf>
    <xf numFmtId="0" fontId="41" fillId="3" borderId="60" xfId="0" applyFont="1" applyFill="1" applyBorder="1" applyAlignment="1" applyProtection="1">
      <alignment horizontal="center" vertical="center"/>
      <protection hidden="1"/>
    </xf>
    <xf numFmtId="0" fontId="41" fillId="3" borderId="61" xfId="0" applyFont="1" applyFill="1" applyBorder="1" applyAlignment="1" applyProtection="1">
      <alignment horizontal="center"/>
      <protection hidden="1"/>
    </xf>
    <xf numFmtId="164" fontId="41" fillId="3" borderId="62" xfId="2" applyNumberFormat="1" applyFont="1" applyFill="1" applyBorder="1" applyAlignment="1" applyProtection="1">
      <alignment horizontal="center" vertical="center"/>
      <protection hidden="1"/>
    </xf>
    <xf numFmtId="165" fontId="41" fillId="3" borderId="63" xfId="1" applyNumberFormat="1" applyFont="1" applyFill="1" applyBorder="1" applyAlignment="1" applyProtection="1">
      <alignment horizontal="center" vertical="center"/>
      <protection hidden="1"/>
    </xf>
    <xf numFmtId="165" fontId="41" fillId="3" borderId="63" xfId="0" applyNumberFormat="1" applyFont="1" applyFill="1" applyBorder="1" applyAlignment="1" applyProtection="1">
      <alignment horizontal="center" vertical="center"/>
      <protection hidden="1"/>
    </xf>
    <xf numFmtId="164" fontId="41" fillId="3" borderId="56" xfId="2" applyNumberFormat="1" applyFont="1" applyFill="1" applyBorder="1" applyAlignment="1" applyProtection="1">
      <alignment horizontal="center" vertical="center"/>
      <protection hidden="1"/>
    </xf>
    <xf numFmtId="9" fontId="42" fillId="3" borderId="37" xfId="2" applyFont="1" applyFill="1" applyBorder="1" applyAlignment="1" applyProtection="1">
      <alignment horizontal="center" vertical="center"/>
      <protection hidden="1"/>
    </xf>
    <xf numFmtId="9" fontId="42" fillId="3" borderId="59" xfId="2" applyFont="1" applyFill="1" applyBorder="1" applyAlignment="1" applyProtection="1">
      <alignment horizontal="center" vertical="center"/>
      <protection hidden="1"/>
    </xf>
    <xf numFmtId="165" fontId="42" fillId="3" borderId="11" xfId="1" applyNumberFormat="1" applyFont="1" applyFill="1" applyBorder="1" applyAlignment="1">
      <alignment horizontal="center" vertical="center" wrapText="1"/>
    </xf>
    <xf numFmtId="165" fontId="42" fillId="3" borderId="5" xfId="1" applyNumberFormat="1" applyFont="1" applyFill="1" applyBorder="1" applyAlignment="1">
      <alignment horizontal="center" vertical="center" wrapText="1"/>
    </xf>
    <xf numFmtId="6" fontId="14" fillId="0" borderId="0" xfId="0" applyNumberFormat="1" applyFont="1" applyAlignment="1" applyProtection="1">
      <alignment horizontal="center" vertical="center"/>
      <protection hidden="1"/>
    </xf>
    <xf numFmtId="43" fontId="14" fillId="0" borderId="0" xfId="1" applyFont="1" applyProtection="1">
      <protection hidden="1"/>
    </xf>
    <xf numFmtId="165" fontId="43" fillId="4" borderId="0" xfId="0" applyNumberFormat="1" applyFont="1" applyFill="1" applyAlignment="1">
      <alignment horizontal="center" vertical="center"/>
    </xf>
    <xf numFmtId="10" fontId="17" fillId="0" borderId="64" xfId="2" applyNumberFormat="1" applyFont="1" applyFill="1" applyBorder="1" applyAlignment="1" applyProtection="1">
      <alignment horizontal="center" vertical="center"/>
      <protection hidden="1"/>
    </xf>
    <xf numFmtId="165" fontId="14" fillId="0" borderId="0" xfId="1" applyNumberFormat="1" applyFont="1" applyProtection="1">
      <protection hidden="1"/>
    </xf>
    <xf numFmtId="165" fontId="14" fillId="0" borderId="64" xfId="0" applyNumberFormat="1" applyFont="1" applyBorder="1" applyAlignment="1" applyProtection="1">
      <alignment horizontal="center"/>
      <protection hidden="1"/>
    </xf>
    <xf numFmtId="6" fontId="14" fillId="0" borderId="64" xfId="0" applyNumberFormat="1" applyFont="1" applyBorder="1" applyAlignment="1" applyProtection="1">
      <alignment horizontal="center" vertical="center"/>
      <protection hidden="1"/>
    </xf>
    <xf numFmtId="165" fontId="14" fillId="3" borderId="64" xfId="0" applyNumberFormat="1" applyFont="1" applyFill="1" applyBorder="1" applyAlignment="1" applyProtection="1">
      <alignment horizontal="center"/>
      <protection hidden="1"/>
    </xf>
    <xf numFmtId="165" fontId="14" fillId="3" borderId="64" xfId="1" applyNumberFormat="1" applyFont="1" applyFill="1" applyBorder="1" applyAlignment="1" applyProtection="1">
      <alignment horizontal="center"/>
      <protection hidden="1"/>
    </xf>
    <xf numFmtId="165" fontId="18" fillId="3" borderId="64" xfId="1" applyNumberFormat="1" applyFont="1" applyFill="1" applyBorder="1" applyAlignment="1" applyProtection="1">
      <alignment horizontal="center"/>
      <protection hidden="1"/>
    </xf>
    <xf numFmtId="165" fontId="19" fillId="3" borderId="64" xfId="2" applyNumberFormat="1" applyFont="1" applyFill="1" applyBorder="1" applyAlignment="1" applyProtection="1">
      <alignment horizontal="center"/>
      <protection hidden="1"/>
    </xf>
    <xf numFmtId="0" fontId="14" fillId="3" borderId="64" xfId="0" applyFont="1" applyFill="1" applyBorder="1" applyAlignment="1" applyProtection="1">
      <alignment horizontal="center"/>
      <protection hidden="1"/>
    </xf>
    <xf numFmtId="10" fontId="17" fillId="3" borderId="64" xfId="2" applyNumberFormat="1" applyFont="1" applyFill="1" applyBorder="1" applyAlignment="1" applyProtection="1">
      <alignment horizontal="center"/>
      <protection hidden="1"/>
    </xf>
    <xf numFmtId="0" fontId="14" fillId="0" borderId="0" xfId="0" applyFont="1" applyAlignment="1" applyProtection="1">
      <alignment vertical="top"/>
      <protection hidden="1"/>
    </xf>
    <xf numFmtId="0" fontId="45" fillId="0" borderId="0" xfId="0" applyFont="1" applyAlignment="1" applyProtection="1">
      <alignment vertical="top"/>
      <protection hidden="1"/>
    </xf>
    <xf numFmtId="0" fontId="44" fillId="0" borderId="0" xfId="0" applyFont="1" applyAlignment="1">
      <alignment vertical="center"/>
    </xf>
    <xf numFmtId="0" fontId="28" fillId="4" borderId="35"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31" fillId="0" borderId="41" xfId="0" applyFont="1" applyBorder="1" applyAlignment="1">
      <alignment wrapText="1"/>
    </xf>
    <xf numFmtId="0" fontId="25" fillId="0" borderId="42" xfId="0" applyFont="1" applyBorder="1" applyAlignment="1">
      <alignment wrapText="1"/>
    </xf>
    <xf numFmtId="0" fontId="25" fillId="0" borderId="43" xfId="0" applyFont="1" applyBorder="1" applyAlignment="1">
      <alignment wrapText="1"/>
    </xf>
    <xf numFmtId="0" fontId="25" fillId="0" borderId="44" xfId="0" applyFont="1" applyBorder="1" applyAlignment="1">
      <alignment wrapText="1"/>
    </xf>
    <xf numFmtId="0" fontId="25" fillId="0" borderId="0" xfId="0" applyFont="1" applyAlignment="1">
      <alignment wrapText="1"/>
    </xf>
    <xf numFmtId="0" fontId="25" fillId="0" borderId="45" xfId="0" applyFont="1" applyBorder="1" applyAlignment="1">
      <alignment wrapText="1"/>
    </xf>
    <xf numFmtId="0" fontId="25" fillId="0" borderId="46" xfId="0" applyFont="1" applyBorder="1" applyAlignment="1">
      <alignment wrapText="1"/>
    </xf>
    <xf numFmtId="0" fontId="25" fillId="0" borderId="47" xfId="0" applyFont="1" applyBorder="1" applyAlignment="1">
      <alignment wrapText="1"/>
    </xf>
    <xf numFmtId="0" fontId="25" fillId="0" borderId="48" xfId="0" applyFont="1" applyBorder="1" applyAlignment="1">
      <alignment wrapText="1"/>
    </xf>
    <xf numFmtId="0" fontId="44" fillId="0" borderId="0" xfId="0" applyFont="1" applyAlignment="1">
      <alignment horizontal="left" vertical="top" wrapText="1"/>
    </xf>
    <xf numFmtId="0" fontId="46" fillId="5" borderId="65" xfId="0" applyFont="1" applyFill="1" applyBorder="1" applyAlignment="1" applyProtection="1">
      <alignment horizontal="center" vertical="top" wrapText="1"/>
      <protection hidden="1"/>
    </xf>
    <xf numFmtId="0" fontId="46" fillId="5" borderId="66" xfId="0" applyFont="1" applyFill="1" applyBorder="1" applyAlignment="1" applyProtection="1">
      <alignment horizontal="center" vertical="top" wrapText="1"/>
      <protection hidden="1"/>
    </xf>
    <xf numFmtId="0" fontId="46" fillId="5" borderId="67" xfId="0" applyFont="1" applyFill="1" applyBorder="1" applyAlignment="1" applyProtection="1">
      <alignment horizontal="center" vertical="top" wrapText="1"/>
      <protection hidden="1"/>
    </xf>
    <xf numFmtId="0" fontId="46" fillId="5" borderId="68" xfId="0" applyFont="1" applyFill="1" applyBorder="1" applyAlignment="1" applyProtection="1">
      <alignment horizontal="center" vertical="top" wrapText="1"/>
      <protection hidden="1"/>
    </xf>
    <xf numFmtId="0" fontId="46" fillId="5" borderId="0" xfId="0" applyFont="1" applyFill="1" applyAlignment="1" applyProtection="1">
      <alignment horizontal="center" vertical="top" wrapText="1"/>
      <protection hidden="1"/>
    </xf>
    <xf numFmtId="0" fontId="46" fillId="5" borderId="69" xfId="0" applyFont="1" applyFill="1" applyBorder="1" applyAlignment="1" applyProtection="1">
      <alignment horizontal="center" vertical="top" wrapText="1"/>
      <protection hidden="1"/>
    </xf>
    <xf numFmtId="0" fontId="46" fillId="5" borderId="70" xfId="0" applyFont="1" applyFill="1" applyBorder="1" applyAlignment="1" applyProtection="1">
      <alignment horizontal="center" vertical="top" wrapText="1"/>
      <protection hidden="1"/>
    </xf>
    <xf numFmtId="0" fontId="46" fillId="5" borderId="71" xfId="0" applyFont="1" applyFill="1" applyBorder="1" applyAlignment="1" applyProtection="1">
      <alignment horizontal="center" vertical="top" wrapText="1"/>
      <protection hidden="1"/>
    </xf>
    <xf numFmtId="0" fontId="46" fillId="5" borderId="72" xfId="0" applyFont="1" applyFill="1" applyBorder="1" applyAlignment="1" applyProtection="1">
      <alignment horizontal="center" vertical="top" wrapText="1"/>
      <protection hidden="1"/>
    </xf>
    <xf numFmtId="0" fontId="34" fillId="4" borderId="35" xfId="0" applyFont="1" applyFill="1" applyBorder="1" applyAlignment="1">
      <alignment horizontal="left" vertical="center" wrapText="1"/>
    </xf>
    <xf numFmtId="0" fontId="45" fillId="5" borderId="65" xfId="0" applyFont="1" applyFill="1" applyBorder="1" applyAlignment="1" applyProtection="1">
      <alignment horizontal="left" vertical="top" wrapText="1"/>
      <protection hidden="1"/>
    </xf>
    <xf numFmtId="0" fontId="14" fillId="5" borderId="66" xfId="0" applyFont="1" applyFill="1" applyBorder="1" applyAlignment="1" applyProtection="1">
      <alignment horizontal="left" vertical="top"/>
      <protection hidden="1"/>
    </xf>
    <xf numFmtId="0" fontId="14" fillId="5" borderId="67" xfId="0" applyFont="1" applyFill="1" applyBorder="1" applyAlignment="1" applyProtection="1">
      <alignment horizontal="left" vertical="top"/>
      <protection hidden="1"/>
    </xf>
    <xf numFmtId="0" fontId="14" fillId="5" borderId="68" xfId="0" applyFont="1" applyFill="1" applyBorder="1" applyAlignment="1" applyProtection="1">
      <alignment horizontal="left" vertical="top"/>
      <protection hidden="1"/>
    </xf>
    <xf numFmtId="0" fontId="14" fillId="5" borderId="0" xfId="0" applyFont="1" applyFill="1" applyAlignment="1" applyProtection="1">
      <alignment horizontal="left" vertical="top"/>
      <protection hidden="1"/>
    </xf>
    <xf numFmtId="0" fontId="14" fillId="5" borderId="69" xfId="0" applyFont="1" applyFill="1" applyBorder="1" applyAlignment="1" applyProtection="1">
      <alignment horizontal="left" vertical="top"/>
      <protection hidden="1"/>
    </xf>
    <xf numFmtId="0" fontId="14" fillId="5" borderId="70" xfId="0" applyFont="1" applyFill="1" applyBorder="1" applyAlignment="1" applyProtection="1">
      <alignment horizontal="left" vertical="top"/>
      <protection hidden="1"/>
    </xf>
    <xf numFmtId="0" fontId="14" fillId="5" borderId="71" xfId="0" applyFont="1" applyFill="1" applyBorder="1" applyAlignment="1" applyProtection="1">
      <alignment horizontal="left" vertical="top"/>
      <protection hidden="1"/>
    </xf>
    <xf numFmtId="0" fontId="14" fillId="5" borderId="72" xfId="0" applyFont="1" applyFill="1" applyBorder="1" applyAlignment="1" applyProtection="1">
      <alignment horizontal="left" vertical="top"/>
      <protection hidden="1"/>
    </xf>
  </cellXfs>
  <cellStyles count="3">
    <cellStyle name="Comma" xfId="1" builtinId="3"/>
    <cellStyle name="Normal" xfId="0" builtinId="0"/>
    <cellStyle name="Per cent" xfId="2" builtinId="5"/>
  </cellStyles>
  <dxfs count="6">
    <dxf>
      <numFmt numFmtId="166" formatCode="&quot;£&quot;#,###"/>
    </dxf>
    <dxf>
      <numFmt numFmtId="13" formatCode="0%"/>
    </dxf>
    <dxf>
      <numFmt numFmtId="165" formatCode="&quot;£&quot;#,##0"/>
    </dxf>
    <dxf>
      <numFmt numFmtId="166" formatCode="&quot;£&quot;#,###"/>
    </dxf>
    <dxf>
      <numFmt numFmtId="13" formatCode="0%"/>
    </dxf>
    <dxf>
      <numFmt numFmtId="165" formatCode="&quot;£&quot;#,##0"/>
    </dxf>
  </dxfs>
  <tableStyles count="0" defaultTableStyle="TableStyleMedium2" defaultPivotStyle="PivotStyleLight16"/>
  <colors>
    <mruColors>
      <color rgb="FFFF8811"/>
      <color rgb="FF124444"/>
      <color rgb="FFF49B00"/>
      <color rgb="FFED7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themortgageworks.co.uk/intermediaries/products/further-advance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themortgageworks.co.uk/intermediaries/products/further-advanc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388775</xdr:colOff>
      <xdr:row>0</xdr:row>
      <xdr:rowOff>54428</xdr:rowOff>
    </xdr:from>
    <xdr:to>
      <xdr:col>2</xdr:col>
      <xdr:colOff>3132769</xdr:colOff>
      <xdr:row>0</xdr:row>
      <xdr:rowOff>684210</xdr:rowOff>
    </xdr:to>
    <xdr:pic>
      <xdr:nvPicPr>
        <xdr:cNvPr id="7" name="Picture 6">
          <a:hlinkClick xmlns:r="http://schemas.openxmlformats.org/officeDocument/2006/relationships" r:id="rId1"/>
          <a:extLst>
            <a:ext uri="{FF2B5EF4-FFF2-40B4-BE49-F238E27FC236}">
              <a16:creationId xmlns:a16="http://schemas.microsoft.com/office/drawing/2014/main" id="{001A9DD6-8F7C-4842-BCD3-5399DD6197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4265" y="54428"/>
          <a:ext cx="3230676" cy="629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366875</xdr:colOff>
      <xdr:row>0</xdr:row>
      <xdr:rowOff>63028</xdr:rowOff>
    </xdr:from>
    <xdr:to>
      <xdr:col>2</xdr:col>
      <xdr:colOff>3104973</xdr:colOff>
      <xdr:row>0</xdr:row>
      <xdr:rowOff>697345</xdr:rowOff>
    </xdr:to>
    <xdr:pic>
      <xdr:nvPicPr>
        <xdr:cNvPr id="4" name="Picture 3">
          <a:hlinkClick xmlns:r="http://schemas.openxmlformats.org/officeDocument/2006/relationships" r:id="rId1"/>
          <a:extLst>
            <a:ext uri="{FF2B5EF4-FFF2-40B4-BE49-F238E27FC236}">
              <a16:creationId xmlns:a16="http://schemas.microsoft.com/office/drawing/2014/main" id="{45FF4AD0-5174-307D-9620-D3C0A1F3E1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365" y="63028"/>
          <a:ext cx="3227955" cy="6343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84CC-27A9-435B-9EE9-6A0F3EF4B21B}">
  <sheetPr>
    <tabColor theme="1"/>
  </sheetPr>
  <dimension ref="B1:Z47"/>
  <sheetViews>
    <sheetView showGridLines="0" tabSelected="1" zoomScale="70" zoomScaleNormal="70" zoomScaleSheetLayoutView="115" workbookViewId="0">
      <selection activeCell="D6" sqref="D6"/>
    </sheetView>
  </sheetViews>
  <sheetFormatPr defaultColWidth="8.7265625" defaultRowHeight="14" x14ac:dyDescent="0.3"/>
  <cols>
    <col min="1" max="1" width="3.26953125" style="56" customWidth="1"/>
    <col min="2" max="2" width="7" style="56" customWidth="1"/>
    <col min="3" max="3" width="83.54296875" style="56" customWidth="1"/>
    <col min="4" max="4" width="35.1796875" style="56" customWidth="1"/>
    <col min="5" max="5" width="8.7265625" style="56" customWidth="1"/>
    <col min="6" max="6" width="34.1796875" style="74" hidden="1" customWidth="1"/>
    <col min="7" max="10" width="15.453125" style="74" hidden="1" customWidth="1"/>
    <col min="11" max="12" width="13" style="74" hidden="1" customWidth="1"/>
    <col min="13" max="13" width="3.26953125" style="56" hidden="1" customWidth="1"/>
    <col min="14" max="22" width="0" style="56" hidden="1" customWidth="1"/>
    <col min="23" max="16384" width="8.7265625" style="56"/>
  </cols>
  <sheetData>
    <row r="1" spans="2:26" ht="63.65" customHeight="1" thickBot="1" x14ac:dyDescent="0.35"/>
    <row r="2" spans="2:26" ht="13.5" customHeight="1" x14ac:dyDescent="0.3">
      <c r="B2" s="126"/>
      <c r="C2" s="127"/>
      <c r="D2" s="127"/>
      <c r="E2" s="128"/>
      <c r="F2" s="148"/>
      <c r="G2" s="149"/>
      <c r="H2" s="149"/>
      <c r="I2" s="149"/>
      <c r="J2" s="149"/>
      <c r="K2" s="149"/>
      <c r="L2" s="150"/>
      <c r="O2" s="242" t="s">
        <v>113</v>
      </c>
      <c r="P2" s="243"/>
      <c r="Q2" s="243"/>
      <c r="R2" s="243"/>
      <c r="S2" s="243"/>
      <c r="T2" s="243"/>
      <c r="U2" s="243"/>
      <c r="V2" s="244"/>
    </row>
    <row r="3" spans="2:26" ht="27.75" customHeight="1" x14ac:dyDescent="0.55000000000000004">
      <c r="B3" s="129"/>
      <c r="C3" s="130" t="s">
        <v>0</v>
      </c>
      <c r="D3" s="131"/>
      <c r="E3" s="132"/>
      <c r="F3" s="141"/>
      <c r="G3" s="142"/>
      <c r="H3" s="142"/>
      <c r="I3" s="142"/>
      <c r="J3" s="142"/>
      <c r="K3" s="142"/>
      <c r="L3" s="143"/>
      <c r="O3" s="245"/>
      <c r="P3" s="246"/>
      <c r="Q3" s="246"/>
      <c r="R3" s="246"/>
      <c r="S3" s="246"/>
      <c r="T3" s="246"/>
      <c r="U3" s="246"/>
      <c r="V3" s="247"/>
      <c r="Z3" s="57"/>
    </row>
    <row r="4" spans="2:26" ht="68.25" customHeight="1" thickBot="1" x14ac:dyDescent="0.35">
      <c r="B4" s="133"/>
      <c r="C4" s="230" t="s">
        <v>1</v>
      </c>
      <c r="D4" s="230"/>
      <c r="E4" s="231"/>
      <c r="F4" s="141"/>
      <c r="G4" s="142"/>
      <c r="H4" s="142"/>
      <c r="I4" s="142"/>
      <c r="J4" s="142"/>
      <c r="K4" s="142"/>
      <c r="L4" s="143"/>
      <c r="O4" s="248"/>
      <c r="P4" s="249"/>
      <c r="Q4" s="249"/>
      <c r="R4" s="249"/>
      <c r="S4" s="249"/>
      <c r="T4" s="249"/>
      <c r="U4" s="249"/>
      <c r="V4" s="250"/>
    </row>
    <row r="5" spans="2:26" ht="7.5" customHeight="1" x14ac:dyDescent="0.5">
      <c r="B5" s="58"/>
      <c r="C5" s="59"/>
      <c r="D5" s="60"/>
      <c r="E5" s="61"/>
      <c r="F5" s="75" t="s">
        <v>102</v>
      </c>
      <c r="G5" s="76"/>
      <c r="H5" s="76"/>
      <c r="I5" s="76"/>
      <c r="J5" s="76"/>
      <c r="K5" s="76"/>
      <c r="L5" s="77"/>
      <c r="Z5" s="62"/>
    </row>
    <row r="6" spans="2:26" ht="18" customHeight="1" x14ac:dyDescent="0.3">
      <c r="B6" s="58"/>
      <c r="C6" s="67" t="s">
        <v>2</v>
      </c>
      <c r="D6" s="68"/>
      <c r="E6" s="61"/>
      <c r="F6" s="166" t="s">
        <v>3</v>
      </c>
      <c r="G6" s="192">
        <v>0.5</v>
      </c>
      <c r="H6" s="192">
        <v>0.6</v>
      </c>
      <c r="I6" s="192">
        <v>0.65</v>
      </c>
      <c r="J6" s="192">
        <v>0.7</v>
      </c>
      <c r="K6" s="192">
        <v>0.75</v>
      </c>
      <c r="L6" s="168">
        <v>0.8</v>
      </c>
    </row>
    <row r="7" spans="2:26" ht="18" customHeight="1" x14ac:dyDescent="0.3">
      <c r="B7" s="58"/>
      <c r="C7" s="67" t="s">
        <v>4</v>
      </c>
      <c r="D7" s="69"/>
      <c r="E7" s="61"/>
      <c r="F7" s="169" t="s">
        <v>5</v>
      </c>
      <c r="G7" s="193" t="s">
        <v>6</v>
      </c>
      <c r="H7" s="193" t="s">
        <v>6</v>
      </c>
      <c r="I7" s="193" t="s">
        <v>6</v>
      </c>
      <c r="J7" s="193" t="s">
        <v>7</v>
      </c>
      <c r="K7" s="193" t="s">
        <v>7</v>
      </c>
      <c r="L7" s="170" t="s">
        <v>7</v>
      </c>
      <c r="Z7" s="62"/>
    </row>
    <row r="8" spans="2:26" ht="18" customHeight="1" x14ac:dyDescent="0.3">
      <c r="B8" s="58"/>
      <c r="C8" s="67" t="s">
        <v>8</v>
      </c>
      <c r="D8" s="69"/>
      <c r="E8" s="61"/>
      <c r="F8" s="83" t="s">
        <v>9</v>
      </c>
      <c r="G8" s="84" t="e">
        <f>VLOOKUP(CONCATENATE($D$16,", ",$D$17,", ",$D$15,", ",$D$13),ICR!$E:$F,2,FALSE)</f>
        <v>#N/A</v>
      </c>
      <c r="H8" s="84" t="e">
        <f>VLOOKUP(CONCATENATE($D$16,", ",$D$17,", ",$D$15,", ",$D$13),ICR!$E:$F,2,FALSE)</f>
        <v>#N/A</v>
      </c>
      <c r="I8" s="84" t="e">
        <f>VLOOKUP(CONCATENATE($D$16,", ",$D$17,", ",$D$15,", ",$D$13),ICR!$E:$F,2,FALSE)</f>
        <v>#N/A</v>
      </c>
      <c r="J8" s="84" t="e">
        <f>VLOOKUP(CONCATENATE($D$16,", ",$D$17,", ",$D$15,", ",$D$13),ICR!$E:$F,2,FALSE)</f>
        <v>#N/A</v>
      </c>
      <c r="K8" s="84" t="e">
        <f>VLOOKUP(CONCATENATE($D$16,", ",$D$17,", ",$D$15,", ",$D$13),ICR!$E:$F,2,FALSE)</f>
        <v>#N/A</v>
      </c>
      <c r="L8" s="85" t="e">
        <f>VLOOKUP(CONCATENATE($D$16,", ",$D$17,", ",$D$15,", ",$D$13),ICR!$E:$F,2,FALSE)</f>
        <v>#N/A</v>
      </c>
      <c r="Z8" s="62"/>
    </row>
    <row r="9" spans="2:26" ht="18" customHeight="1" x14ac:dyDescent="0.3">
      <c r="B9" s="58"/>
      <c r="C9" s="67" t="s">
        <v>10</v>
      </c>
      <c r="D9" s="70"/>
      <c r="E9" s="61"/>
      <c r="F9" s="177" t="s">
        <v>11</v>
      </c>
      <c r="G9" s="178" t="e">
        <f>MAX(VLOOKUP(CONCATENATE($D$16,", ",G8,", ",$D$10,", ",G7),'SA Stress Rate (ML)'!$E:$F,2,FALSE),G10)</f>
        <v>#N/A</v>
      </c>
      <c r="H9" s="178" t="e">
        <f>MAX(VLOOKUP(CONCATENATE($D$16,", ",H8,", ",$D$10,", ",H7),'SA Stress Rate (ML)'!$E:$F,2,FALSE),H10)</f>
        <v>#N/A</v>
      </c>
      <c r="I9" s="178" t="e">
        <f>MAX(VLOOKUP(CONCATENATE($D$16,", ",I8,", ",$D$10,", ",I7),'SA Stress Rate (ML)'!$E:$F,2,FALSE),I10)</f>
        <v>#N/A</v>
      </c>
      <c r="J9" s="178" t="e">
        <f>MAX(VLOOKUP(CONCATENATE($D$16,", ",J8,", ",$D$10,", ",J7),'SA Stress Rate (ML)'!$E:$F,2,FALSE),J10)</f>
        <v>#N/A</v>
      </c>
      <c r="K9" s="178" t="e">
        <f>MAX(VLOOKUP(CONCATENATE($D$16,", ",K8,", ",$D$10,", ",K7),'SA Stress Rate (ML)'!$E:$F,2,FALSE),K10)</f>
        <v>#N/A</v>
      </c>
      <c r="L9" s="179" t="e">
        <f>MAX(VLOOKUP(CONCATENATE($D$16,", ",L8,", ",$D$10,", ",L7),'SA Stress Rate (ML)'!$E:$F,2,FALSE),L10)</f>
        <v>#N/A</v>
      </c>
      <c r="Z9" s="62"/>
    </row>
    <row r="10" spans="2:26" ht="18" customHeight="1" x14ac:dyDescent="0.3">
      <c r="B10" s="58"/>
      <c r="C10" s="67" t="s">
        <v>12</v>
      </c>
      <c r="D10" s="69"/>
      <c r="E10" s="61"/>
      <c r="F10" s="177" t="s">
        <v>14</v>
      </c>
      <c r="G10" s="178" t="e">
        <f>VLOOKUP(CONCATENATE($D$16,", ",G8,", ",$D$20,", ",G7),'SA Stress Rate (FA)'!$E:$F,2,FALSE)</f>
        <v>#N/A</v>
      </c>
      <c r="H10" s="178" t="e">
        <f>VLOOKUP(CONCATENATE($D$16,", ",H8,", ",$D$20,", ",H7),'SA Stress Rate (FA)'!$E:$F,2,FALSE)</f>
        <v>#N/A</v>
      </c>
      <c r="I10" s="178" t="e">
        <f>VLOOKUP(CONCATENATE($D$16,", ",I8,", ",$D$20,", ",I7),'SA Stress Rate (FA)'!$E:$F,2,FALSE)</f>
        <v>#N/A</v>
      </c>
      <c r="J10" s="178" t="e">
        <f>VLOOKUP(CONCATENATE($D$16,", ",J8,", ",$D$20,", ",J7),'SA Stress Rate (FA)'!$E:$F,2,FALSE)</f>
        <v>#N/A</v>
      </c>
      <c r="K10" s="178" t="e">
        <f>VLOOKUP(CONCATENATE($D$16,", ",K8,", ",$D$20,", ",K7),'SA Stress Rate (FA)'!$E:$F,2,FALSE)</f>
        <v>#N/A</v>
      </c>
      <c r="L10" s="179" t="e">
        <f>VLOOKUP(CONCATENATE($D$16,", ",L8,", ",$D$20,", ",L7),'SA Stress Rate (FA)'!$E:$F,2,FALSE)</f>
        <v>#N/A</v>
      </c>
      <c r="Z10" s="62"/>
    </row>
    <row r="11" spans="2:26" ht="18" customHeight="1" x14ac:dyDescent="0.3">
      <c r="B11" s="58"/>
      <c r="C11" s="67"/>
      <c r="D11" s="71"/>
      <c r="E11" s="61"/>
      <c r="F11" s="169" t="s">
        <v>15</v>
      </c>
      <c r="G11" s="194" t="e">
        <f>$D$7-($D$8*G$8*G$9/12)</f>
        <v>#N/A</v>
      </c>
      <c r="H11" s="194" t="e">
        <f t="shared" ref="H11:K11" si="0">$D$7-($D$8*H$8*H$9/12)</f>
        <v>#N/A</v>
      </c>
      <c r="I11" s="194" t="e">
        <f t="shared" si="0"/>
        <v>#N/A</v>
      </c>
      <c r="J11" s="194" t="e">
        <f t="shared" si="0"/>
        <v>#N/A</v>
      </c>
      <c r="K11" s="194" t="e">
        <f t="shared" si="0"/>
        <v>#N/A</v>
      </c>
      <c r="L11" s="167" t="e">
        <f>$D$7-($D$8*L$8*L$9/12)</f>
        <v>#N/A</v>
      </c>
    </row>
    <row r="12" spans="2:26" ht="18" customHeight="1" x14ac:dyDescent="0.3">
      <c r="B12" s="58"/>
      <c r="C12" s="67" t="s">
        <v>16</v>
      </c>
      <c r="D12" s="72"/>
      <c r="E12" s="61"/>
      <c r="F12" s="169"/>
      <c r="G12" s="195"/>
      <c r="H12" s="195"/>
      <c r="I12" s="195"/>
      <c r="J12" s="195"/>
      <c r="K12" s="195"/>
      <c r="L12" s="171"/>
      <c r="Z12" s="62"/>
    </row>
    <row r="13" spans="2:26" ht="18" customHeight="1" x14ac:dyDescent="0.3">
      <c r="B13" s="58"/>
      <c r="C13" s="67" t="s">
        <v>18</v>
      </c>
      <c r="D13" s="72"/>
      <c r="E13" s="61"/>
      <c r="F13" s="166" t="s">
        <v>96</v>
      </c>
      <c r="G13" s="196">
        <f>($D$6*G6)-$D$8</f>
        <v>0</v>
      </c>
      <c r="H13" s="196">
        <f t="shared" ref="H13:L13" si="1">($D$6*H6)-$D$8</f>
        <v>0</v>
      </c>
      <c r="I13" s="194">
        <f t="shared" si="1"/>
        <v>0</v>
      </c>
      <c r="J13" s="196">
        <f t="shared" si="1"/>
        <v>0</v>
      </c>
      <c r="K13" s="196">
        <f t="shared" si="1"/>
        <v>0</v>
      </c>
      <c r="L13" s="172">
        <f t="shared" si="1"/>
        <v>0</v>
      </c>
      <c r="Z13" s="62"/>
    </row>
    <row r="14" spans="2:26" ht="18" customHeight="1" x14ac:dyDescent="0.3">
      <c r="B14" s="58"/>
      <c r="C14" s="67" t="s">
        <v>20</v>
      </c>
      <c r="D14" s="72"/>
      <c r="E14" s="61"/>
      <c r="F14" s="166" t="s">
        <v>97</v>
      </c>
      <c r="G14" s="197">
        <f>($D$6*G6)-$D$8+IF($D$21&lt;1,$D$21*(($D$6*G6)-$D$8),$D$21)</f>
        <v>0</v>
      </c>
      <c r="H14" s="197">
        <f t="shared" ref="H14:L14" si="2">($D$6*H6)-$D$8+IF($D$21&lt;1,$D$21*(($D$6*H6)-$D$8),$D$21)</f>
        <v>0</v>
      </c>
      <c r="I14" s="197">
        <f t="shared" si="2"/>
        <v>0</v>
      </c>
      <c r="J14" s="197">
        <f t="shared" si="2"/>
        <v>0</v>
      </c>
      <c r="K14" s="197">
        <f t="shared" si="2"/>
        <v>0</v>
      </c>
      <c r="L14" s="176">
        <f t="shared" si="2"/>
        <v>0</v>
      </c>
    </row>
    <row r="15" spans="2:26" ht="18" customHeight="1" x14ac:dyDescent="0.3">
      <c r="B15" s="58"/>
      <c r="C15" s="67" t="s">
        <v>23</v>
      </c>
      <c r="D15" s="72"/>
      <c r="E15" s="61"/>
      <c r="F15" s="166" t="s">
        <v>22</v>
      </c>
      <c r="G15" s="173" t="e">
        <f t="shared" ref="G15:L15" si="3">(G11*12)/G10/G8</f>
        <v>#N/A</v>
      </c>
      <c r="H15" s="173" t="e">
        <f t="shared" si="3"/>
        <v>#N/A</v>
      </c>
      <c r="I15" s="173" t="e">
        <f t="shared" si="3"/>
        <v>#N/A</v>
      </c>
      <c r="J15" s="174" t="e">
        <f t="shared" si="3"/>
        <v>#N/A</v>
      </c>
      <c r="K15" s="173" t="e">
        <f t="shared" si="3"/>
        <v>#N/A</v>
      </c>
      <c r="L15" s="175" t="e">
        <f t="shared" si="3"/>
        <v>#N/A</v>
      </c>
      <c r="Z15" s="62"/>
    </row>
    <row r="16" spans="2:26" ht="18" customHeight="1" x14ac:dyDescent="0.3">
      <c r="B16" s="58"/>
      <c r="C16" s="67" t="s">
        <v>26</v>
      </c>
      <c r="D16" s="72"/>
      <c r="E16" s="61"/>
      <c r="F16" s="180" t="s">
        <v>25</v>
      </c>
      <c r="G16" s="181" t="e">
        <f>VLOOKUP(CONCATENATE($D$14,", ",$D$17,", ",G$6),'Property Cap'!$D:$E,2,FALSE)-$D$8</f>
        <v>#N/A</v>
      </c>
      <c r="H16" s="181" t="e">
        <f>VLOOKUP(CONCATENATE($D$14,", ",$D$17,", ",H$6),'Property Cap'!$D:$E,2,FALSE)-$D$8</f>
        <v>#N/A</v>
      </c>
      <c r="I16" s="181" t="e">
        <f>VLOOKUP(CONCATENATE($D$14,", ",$D$17,", ",I$6),'Property Cap'!$D:$E,2,FALSE)-$D$8</f>
        <v>#N/A</v>
      </c>
      <c r="J16" s="181" t="e">
        <f>VLOOKUP(CONCATENATE($D$14,", ",$D$17,", ",J$6),'Property Cap'!$D:$E,2,FALSE)-$D$8</f>
        <v>#N/A</v>
      </c>
      <c r="K16" s="181" t="e">
        <f>VLOOKUP(CONCATENATE($D$14,", ",$D$17,", ",K$6),'Property Cap'!$D:$E,2,FALSE)-$D$8</f>
        <v>#N/A</v>
      </c>
      <c r="L16" s="182" t="e">
        <f>VLOOKUP(CONCATENATE($D$14,", ",$D$17,", ",L$6),'Property Cap'!$D:$E,2,FALSE)-$D$8</f>
        <v>#N/A</v>
      </c>
    </row>
    <row r="17" spans="2:26" ht="18" customHeight="1" x14ac:dyDescent="0.3">
      <c r="B17" s="58"/>
      <c r="C17" s="67" t="s">
        <v>29</v>
      </c>
      <c r="D17" s="72"/>
      <c r="E17" s="61"/>
      <c r="F17" s="183" t="s">
        <v>28</v>
      </c>
      <c r="G17" s="184" t="e">
        <f>IF(VLOOKUP($D$12,'Exposure Cap'!$A:$B,2,FALSE)&gt;=G$6,7500000,0)-D8</f>
        <v>#N/A</v>
      </c>
      <c r="H17" s="184" t="e">
        <f>IF(VLOOKUP($D$12,'Exposure Cap'!$A:$B,2,FALSE)&gt;=H$6,7500000,0)-D8</f>
        <v>#N/A</v>
      </c>
      <c r="I17" s="184" t="e">
        <f>IF(VLOOKUP($D$12,'Exposure Cap'!$A:$B,2,FALSE)&gt;=I$6,3000000,0)-D8</f>
        <v>#N/A</v>
      </c>
      <c r="J17" s="184" t="e">
        <f>IF(VLOOKUP($D$12,'Exposure Cap'!$A:$B,2,FALSE)&gt;=J$6,3000000,0)-D8</f>
        <v>#N/A</v>
      </c>
      <c r="K17" s="184" t="e">
        <f>IF(VLOOKUP($D$12,'Exposure Cap'!$A:$B,2,FALSE)&gt;=K$6,1000000,0)-D8</f>
        <v>#N/A</v>
      </c>
      <c r="L17" s="185" t="e">
        <f>IF(VLOOKUP($D$12,'Exposure Cap'!$A:$B,2,FALSE)&gt;=L$6,750000,0)-D8</f>
        <v>#N/A</v>
      </c>
      <c r="Z17" s="62"/>
    </row>
    <row r="18" spans="2:26" ht="8.25" customHeight="1" x14ac:dyDescent="0.3">
      <c r="B18" s="58"/>
      <c r="C18" s="67"/>
      <c r="D18" s="71"/>
      <c r="E18" s="61"/>
      <c r="F18" s="81"/>
      <c r="L18" s="102"/>
      <c r="Z18" s="62"/>
    </row>
    <row r="19" spans="2:26" ht="18" customHeight="1" x14ac:dyDescent="0.3">
      <c r="B19" s="58"/>
      <c r="C19" s="67" t="s">
        <v>31</v>
      </c>
      <c r="D19" s="70"/>
      <c r="E19" s="61"/>
      <c r="F19" s="166" t="s">
        <v>88</v>
      </c>
      <c r="G19" s="196" t="e">
        <f t="shared" ref="G19:L19" si="4">MAX(MIN(G15,G14,G16,G17),0)</f>
        <v>#N/A</v>
      </c>
      <c r="H19" s="196" t="e">
        <f t="shared" si="4"/>
        <v>#N/A</v>
      </c>
      <c r="I19" s="196" t="e">
        <f t="shared" si="4"/>
        <v>#N/A</v>
      </c>
      <c r="J19" s="196" t="e">
        <f t="shared" si="4"/>
        <v>#N/A</v>
      </c>
      <c r="K19" s="196" t="e">
        <f t="shared" si="4"/>
        <v>#N/A</v>
      </c>
      <c r="L19" s="172" t="e">
        <f t="shared" si="4"/>
        <v>#N/A</v>
      </c>
    </row>
    <row r="20" spans="2:26" ht="18" customHeight="1" x14ac:dyDescent="0.3">
      <c r="B20" s="58"/>
      <c r="C20" s="67" t="s">
        <v>32</v>
      </c>
      <c r="D20" s="72"/>
      <c r="E20" s="61"/>
      <c r="F20" s="166"/>
      <c r="G20" s="196"/>
      <c r="H20" s="196"/>
      <c r="I20" s="196"/>
      <c r="J20" s="196"/>
      <c r="K20" s="196"/>
      <c r="L20" s="172"/>
      <c r="Z20" s="63"/>
    </row>
    <row r="21" spans="2:26" ht="18" customHeight="1" x14ac:dyDescent="0.3">
      <c r="B21" s="58"/>
      <c r="C21" s="67" t="s">
        <v>33</v>
      </c>
      <c r="D21" s="190"/>
      <c r="E21" s="61"/>
      <c r="F21" s="166" t="s">
        <v>87</v>
      </c>
      <c r="G21" s="196" t="e">
        <f>MAX(MIN(G13,G17,G15,G16),0)</f>
        <v>#N/A</v>
      </c>
      <c r="H21" s="196" t="e">
        <f t="shared" ref="H21:L21" si="5">MAX(MIN(H13,H17,H15,H16),0)</f>
        <v>#N/A</v>
      </c>
      <c r="I21" s="196" t="e">
        <f t="shared" si="5"/>
        <v>#N/A</v>
      </c>
      <c r="J21" s="196" t="e">
        <f t="shared" si="5"/>
        <v>#N/A</v>
      </c>
      <c r="K21" s="196" t="e">
        <f t="shared" si="5"/>
        <v>#N/A</v>
      </c>
      <c r="L21" s="167" t="e">
        <f t="shared" si="5"/>
        <v>#N/A</v>
      </c>
      <c r="Z21" s="63"/>
    </row>
    <row r="22" spans="2:26" ht="18" customHeight="1" x14ac:dyDescent="0.3">
      <c r="B22" s="58"/>
      <c r="C22" s="67" t="s">
        <v>89</v>
      </c>
      <c r="D22" s="165"/>
      <c r="E22" s="61"/>
      <c r="F22" s="78"/>
      <c r="G22" s="198"/>
      <c r="H22" s="198"/>
      <c r="I22" s="198"/>
      <c r="J22" s="198"/>
      <c r="K22" s="198"/>
      <c r="L22" s="106"/>
      <c r="Z22" s="63"/>
    </row>
    <row r="23" spans="2:26" ht="6.75" customHeight="1" thickBot="1" x14ac:dyDescent="0.35">
      <c r="B23" s="58"/>
      <c r="C23" s="64"/>
      <c r="D23" s="60"/>
      <c r="E23" s="61"/>
      <c r="F23" s="103"/>
      <c r="G23" s="104"/>
      <c r="H23" s="104"/>
      <c r="I23" s="186"/>
      <c r="J23" s="104"/>
      <c r="K23" s="104"/>
      <c r="L23" s="105"/>
    </row>
    <row r="24" spans="2:26" s="65" customFormat="1" ht="18" x14ac:dyDescent="0.35">
      <c r="B24" s="126"/>
      <c r="C24" s="140"/>
      <c r="D24" s="127"/>
      <c r="E24" s="128"/>
      <c r="F24" s="205" t="s">
        <v>99</v>
      </c>
      <c r="G24" s="210">
        <v>0.5</v>
      </c>
      <c r="H24" s="210">
        <f>H6</f>
        <v>0.6</v>
      </c>
      <c r="I24" s="210">
        <f t="shared" ref="I24:L24" si="6">I6</f>
        <v>0.65</v>
      </c>
      <c r="J24" s="210">
        <f t="shared" si="6"/>
        <v>0.7</v>
      </c>
      <c r="K24" s="210">
        <f t="shared" si="6"/>
        <v>0.75</v>
      </c>
      <c r="L24" s="211">
        <f t="shared" si="6"/>
        <v>0.8</v>
      </c>
    </row>
    <row r="25" spans="2:26" s="65" customFormat="1" ht="52" customHeight="1" x14ac:dyDescent="0.3">
      <c r="B25" s="129"/>
      <c r="C25" s="187" t="s">
        <v>93</v>
      </c>
      <c r="D25" s="216" t="str">
        <f>IF(D22='SA Validation'!$A$65,IFERROR(ROUNDDOWN(MAX(G21:L21),0),""),IFERROR(ROUNDDOWN(MAX(G19:L19),0),""))</f>
        <v/>
      </c>
      <c r="E25" s="132"/>
      <c r="F25" s="204" t="s">
        <v>93</v>
      </c>
      <c r="G25" s="212" t="str">
        <f>IF($D$22='SA Validation'!$A$65,IFERROR(ROUNDDOWN(MAX(G21),0),""),IFERROR(ROUNDDOWN(MAX(G19),0),""))</f>
        <v/>
      </c>
      <c r="H25" s="212" t="str">
        <f>IF($D$22='SA Validation'!$A$65,IFERROR(ROUNDDOWN(MAX(H21),0),""),IFERROR(ROUNDDOWN(MAX(H19),0),""))</f>
        <v/>
      </c>
      <c r="I25" s="212" t="str">
        <f>IF($D$22='SA Validation'!$A$65,IFERROR(ROUNDDOWN(MAX(I21),0),""),IFERROR(ROUNDDOWN(MAX(I19),0),""))</f>
        <v/>
      </c>
      <c r="J25" s="212" t="str">
        <f>IF($D$22='SA Validation'!$A$65,IFERROR(ROUNDDOWN(MAX(J21),0),""),IFERROR(ROUNDDOWN(MAX(J19),0),""))</f>
        <v/>
      </c>
      <c r="K25" s="212" t="str">
        <f>IF($D$22='SA Validation'!$A$65,IFERROR(ROUNDDOWN(MAX(K21),0),""),IFERROR(ROUNDDOWN(MAX(K19),0),""))</f>
        <v/>
      </c>
      <c r="L25" s="213" t="str">
        <f>IF($D$22='SA Validation'!$A$65,IFERROR(ROUNDDOWN(MAX(L21),0),""),IFERROR(ROUNDDOWN(MAX(L19),0),""))</f>
        <v/>
      </c>
      <c r="O25" s="229"/>
      <c r="P25" s="229"/>
      <c r="Q25" s="229"/>
      <c r="R25" s="229"/>
      <c r="S25" s="229"/>
    </row>
    <row r="26" spans="2:26" s="65" customFormat="1" ht="28.5" customHeight="1" x14ac:dyDescent="0.3">
      <c r="B26" s="129"/>
      <c r="C26" s="145" t="s">
        <v>92</v>
      </c>
      <c r="D26" s="188" t="str">
        <f>IFERROR(D25-D27,"")</f>
        <v/>
      </c>
      <c r="E26" s="132"/>
      <c r="F26" s="204" t="s">
        <v>92</v>
      </c>
      <c r="G26" s="207" t="str">
        <f>IFERROR(G25-G27,"")</f>
        <v/>
      </c>
      <c r="H26" s="207" t="str">
        <f>IFERROR(H25-H27,"")</f>
        <v/>
      </c>
      <c r="I26" s="207" t="str">
        <f t="shared" ref="I26:L26" si="7">IFERROR(I25-I27,"")</f>
        <v/>
      </c>
      <c r="J26" s="207" t="str">
        <f t="shared" si="7"/>
        <v/>
      </c>
      <c r="K26" s="207" t="str">
        <f t="shared" si="7"/>
        <v/>
      </c>
      <c r="L26" s="199" t="str">
        <f t="shared" si="7"/>
        <v/>
      </c>
      <c r="O26" s="229"/>
      <c r="P26" s="229"/>
      <c r="Q26" s="229"/>
      <c r="R26" s="229"/>
      <c r="S26" s="229"/>
    </row>
    <row r="27" spans="2:26" s="65" customFormat="1" ht="41.15" customHeight="1" x14ac:dyDescent="0.3">
      <c r="B27" s="129"/>
      <c r="C27" s="145" t="str">
        <f>IF(D22='SA Validation'!$A$66,'SA Validation'!$B$66, IF('Single Account FA '!D22='SA Validation'!$A$65,'SA Validation'!$B$65,"Product Fee"))</f>
        <v>Product Fee</v>
      </c>
      <c r="D27" s="188" t="str">
        <f>IF($D$21&gt;1,$D$21,IF($D$22='SA Validation'!$A$66,$D$25/(1+$D$21)*$D$21,IF($D$22='SA Validation'!$A$65,$D$25*$D$21,"")))</f>
        <v/>
      </c>
      <c r="E27" s="132"/>
      <c r="F27" s="204" t="s">
        <v>100</v>
      </c>
      <c r="G27" s="208" t="str">
        <f>IF($D$21&gt;1,$D$21,IF($D$22='SA Validation'!$A$66,G25/(1+$D$21)*$D$21,IF($D$22='SA Validation'!$A$65,G25*$D$21,"")))</f>
        <v/>
      </c>
      <c r="H27" s="208" t="str">
        <f>IF($D$21&gt;1,$D$21,IF($D$22='SA Validation'!$A$66,H25/(1+$D$21)*$D$21,IF($D$22='SA Validation'!$A$65,H25*$D$21,"")))</f>
        <v/>
      </c>
      <c r="I27" s="208" t="str">
        <f>IF($D$21&gt;1,$D$21,IF($D$22='SA Validation'!$A$66,I25/(1+$D$21)*$D$21,IF($D$22='SA Validation'!$A$65,I25*$D$21,"")))</f>
        <v/>
      </c>
      <c r="J27" s="208" t="str">
        <f>IF($D$21&gt;1,$D$21,IF($D$22='SA Validation'!$A$66,J25/(1+$D$21)*$D$21,IF($D$22='SA Validation'!$A$65,J25*$D$21,"")))</f>
        <v/>
      </c>
      <c r="K27" s="208" t="str">
        <f>IF($D$21&gt;1,$D$21,IF($D$22='SA Validation'!$A$66,K25/(1+$D$21)*$D$21,IF($D$22='SA Validation'!$A$65,K25*$D$21,"")))</f>
        <v/>
      </c>
      <c r="L27" s="202" t="str">
        <f>IF($D$21&gt;1,$D$21,IF($D$22='SA Validation'!$A$66,L25/(1+$D$21)*$D$21,IF($D$22='SA Validation'!$A$65,L25*$D$21,"")))</f>
        <v/>
      </c>
    </row>
    <row r="28" spans="2:26" s="65" customFormat="1" ht="37" customHeight="1" x14ac:dyDescent="0.3">
      <c r="B28" s="129"/>
      <c r="C28" s="145" t="s">
        <v>34</v>
      </c>
      <c r="D28" s="146" t="str">
        <f>IFERROR((D25+D8)/D6,"")</f>
        <v/>
      </c>
      <c r="E28" s="132"/>
      <c r="F28" s="204" t="s">
        <v>101</v>
      </c>
      <c r="G28" s="209" t="str">
        <f>IFERROR((G25+$D$8)/$D$6,"")</f>
        <v/>
      </c>
      <c r="H28" s="209" t="str">
        <f t="shared" ref="H28:L28" si="8">IFERROR((H25+$D$8)/$D$6,"")</f>
        <v/>
      </c>
      <c r="I28" s="209" t="str">
        <f t="shared" si="8"/>
        <v/>
      </c>
      <c r="J28" s="209" t="str">
        <f t="shared" si="8"/>
        <v/>
      </c>
      <c r="K28" s="209" t="str">
        <f t="shared" si="8"/>
        <v/>
      </c>
      <c r="L28" s="206" t="str">
        <f t="shared" si="8"/>
        <v/>
      </c>
    </row>
    <row r="29" spans="2:26" s="65" customFormat="1" ht="14.5" thickBot="1" x14ac:dyDescent="0.35">
      <c r="B29" s="133"/>
      <c r="C29" s="147"/>
      <c r="D29" s="147"/>
      <c r="E29" s="144"/>
      <c r="F29" s="203" t="s">
        <v>103</v>
      </c>
      <c r="G29" s="200"/>
      <c r="H29" s="200"/>
      <c r="I29" s="200"/>
      <c r="J29" s="200"/>
      <c r="K29" s="200"/>
      <c r="L29" s="201"/>
    </row>
    <row r="30" spans="2:26" ht="7.5" customHeight="1" x14ac:dyDescent="0.3">
      <c r="C30" s="66"/>
    </row>
    <row r="31" spans="2:26" ht="18.649999999999999" customHeight="1" x14ac:dyDescent="0.3">
      <c r="B31" s="241" t="str">
        <f>IF(D12='Exposure Cap'!A6,"For customers with exposure of over £5m with The Mortgage Works please contact 0345 600 31 31 for this case to be referred to our senior underwriting team","")</f>
        <v/>
      </c>
      <c r="C31" s="241"/>
      <c r="D31" s="241"/>
      <c r="E31" s="241"/>
      <c r="F31" s="228"/>
      <c r="G31" s="227"/>
      <c r="H31" s="227"/>
      <c r="I31" s="227"/>
      <c r="J31" s="227"/>
      <c r="K31" s="227"/>
      <c r="L31" s="227"/>
    </row>
    <row r="32" spans="2:26" ht="18.649999999999999" customHeight="1" x14ac:dyDescent="0.3">
      <c r="B32" s="241"/>
      <c r="C32" s="241"/>
      <c r="D32" s="241"/>
      <c r="E32" s="241"/>
      <c r="F32" s="227"/>
      <c r="G32" s="227"/>
      <c r="H32" s="227"/>
      <c r="I32" s="227"/>
      <c r="J32" s="227"/>
      <c r="K32" s="227"/>
      <c r="L32" s="227"/>
    </row>
    <row r="33" spans="2:12" ht="7.5" customHeight="1" x14ac:dyDescent="0.3">
      <c r="C33" s="66"/>
      <c r="F33" s="227"/>
      <c r="G33" s="227"/>
      <c r="H33" s="227"/>
      <c r="I33" s="227"/>
      <c r="J33" s="227"/>
      <c r="K33" s="227"/>
      <c r="L33" s="227"/>
    </row>
    <row r="34" spans="2:12" ht="18.649999999999999" customHeight="1" x14ac:dyDescent="0.3">
      <c r="C34" s="66"/>
      <c r="F34" s="227"/>
      <c r="G34" s="227"/>
      <c r="H34" s="227"/>
      <c r="I34" s="227"/>
      <c r="J34" s="227"/>
      <c r="K34" s="227"/>
      <c r="L34" s="227"/>
    </row>
    <row r="35" spans="2:12" x14ac:dyDescent="0.3">
      <c r="B35" s="232" t="s">
        <v>114</v>
      </c>
      <c r="C35" s="233"/>
      <c r="D35" s="233"/>
      <c r="E35" s="234"/>
    </row>
    <row r="36" spans="2:12" x14ac:dyDescent="0.3">
      <c r="B36" s="235"/>
      <c r="C36" s="236"/>
      <c r="D36" s="236"/>
      <c r="E36" s="237"/>
    </row>
    <row r="37" spans="2:12" x14ac:dyDescent="0.3">
      <c r="B37" s="235"/>
      <c r="C37" s="236"/>
      <c r="D37" s="236"/>
      <c r="E37" s="237"/>
    </row>
    <row r="38" spans="2:12" ht="14.15" customHeight="1" x14ac:dyDescent="0.3">
      <c r="B38" s="235"/>
      <c r="C38" s="236"/>
      <c r="D38" s="236"/>
      <c r="E38" s="237"/>
    </row>
    <row r="39" spans="2:12" ht="14.15" customHeight="1" x14ac:dyDescent="0.3">
      <c r="B39" s="235"/>
      <c r="C39" s="236"/>
      <c r="D39" s="236"/>
      <c r="E39" s="237"/>
    </row>
    <row r="40" spans="2:12" ht="42.65" customHeight="1" x14ac:dyDescent="0.3">
      <c r="B40" s="238"/>
      <c r="C40" s="239"/>
      <c r="D40" s="239"/>
      <c r="E40" s="240"/>
    </row>
    <row r="41" spans="2:12" x14ac:dyDescent="0.3">
      <c r="C41" s="66"/>
    </row>
    <row r="42" spans="2:12" ht="14.15" customHeight="1" x14ac:dyDescent="0.3"/>
    <row r="43" spans="2:12" x14ac:dyDescent="0.3">
      <c r="C43" s="66"/>
    </row>
    <row r="44" spans="2:12" x14ac:dyDescent="0.3">
      <c r="C44" s="66"/>
    </row>
    <row r="45" spans="2:12" x14ac:dyDescent="0.3">
      <c r="C45" s="66"/>
    </row>
    <row r="46" spans="2:12" x14ac:dyDescent="0.3">
      <c r="C46" s="66"/>
    </row>
    <row r="47" spans="2:12" x14ac:dyDescent="0.3">
      <c r="C47" s="66"/>
    </row>
  </sheetData>
  <sheetProtection algorithmName="SHA-512" hashValue="EO2g59Fg5I1ImXC9Z0Jq1OklliYhn4UFD1+4B2k0dwWyTeJ0p+9b4Eb0W6CTYewwvlowiCdRSn3msH1DM4su1A==" saltValue="7mWIOV6FgtCB3uFAYU24nQ==" spinCount="100000" sheet="1" objects="1" scenarios="1"/>
  <mergeCells count="4">
    <mergeCell ref="C4:E4"/>
    <mergeCell ref="B35:E40"/>
    <mergeCell ref="B31:E32"/>
    <mergeCell ref="O2:V4"/>
  </mergeCells>
  <conditionalFormatting sqref="D21">
    <cfRule type="expression" dxfId="5" priority="1" stopIfTrue="1">
      <formula>$D$21=0</formula>
    </cfRule>
    <cfRule type="expression" dxfId="4" priority="2" stopIfTrue="1">
      <formula>$D$21&lt;1</formula>
    </cfRule>
    <cfRule type="expression" dxfId="3" priority="3">
      <formula>$D$21&gt;1</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&amp;L&amp;"Calibri"&amp;10&amp;K77b80dNBS Public&amp;1#</oddHeader>
    <oddFooter>&amp;L&amp;1#&amp;"Calibri"&amp;10&amp;K77b80dNBS Public</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792F13E-CB61-49F7-83C6-1467B508843F}">
          <x14:formula1>
            <xm:f>'SA Validation'!$A$3:$A$5</xm:f>
          </x14:formula1>
          <xm:sqref>D10 D20</xm:sqref>
        </x14:dataValidation>
        <x14:dataValidation type="list" allowBlank="1" showInputMessage="1" showErrorMessage="1" xr:uid="{B1A41C85-738F-4AF0-8ABE-F822D1FD64C4}">
          <x14:formula1>
            <xm:f>'SA Validation'!$A$15:$A$16</xm:f>
          </x14:formula1>
          <xm:sqref>D16</xm:sqref>
        </x14:dataValidation>
        <x14:dataValidation type="list" allowBlank="1" showInputMessage="1" showErrorMessage="1" xr:uid="{6D691666-D4AC-44A6-B37A-88C20D7BE809}">
          <x14:formula1>
            <xm:f>'SA Validation'!$A$19:$A$20</xm:f>
          </x14:formula1>
          <xm:sqref>D17</xm:sqref>
        </x14:dataValidation>
        <x14:dataValidation type="list" allowBlank="1" showInputMessage="1" showErrorMessage="1" xr:uid="{D41AB841-441B-4B92-B6AE-C00994378755}">
          <x14:formula1>
            <xm:f>'SA Validation'!$A$23:$A$24</xm:f>
          </x14:formula1>
          <xm:sqref>D15</xm:sqref>
        </x14:dataValidation>
        <x14:dataValidation type="list" allowBlank="1" showInputMessage="1" showErrorMessage="1" xr:uid="{348033B3-2DFA-4022-A579-E0179DF7D128}">
          <x14:formula1>
            <xm:f>'SA Validation'!$A$31:$A$32</xm:f>
          </x14:formula1>
          <xm:sqref>D14</xm:sqref>
        </x14:dataValidation>
        <x14:dataValidation type="list" allowBlank="1" showInputMessage="1" showErrorMessage="1" xr:uid="{B599715E-25CD-40C3-AE6B-F9E7D4C690C2}">
          <x14:formula1>
            <xm:f>'SA Validation'!$A$35:$A$39</xm:f>
          </x14:formula1>
          <xm:sqref>D12</xm:sqref>
        </x14:dataValidation>
        <x14:dataValidation type="list" allowBlank="1" showInputMessage="1" showErrorMessage="1" xr:uid="{CFE4F716-4A48-43B6-AC15-9E184513D365}">
          <x14:formula1>
            <xm:f>'SA Validation'!$A$27:$A$28</xm:f>
          </x14:formula1>
          <xm:sqref>D13</xm:sqref>
        </x14:dataValidation>
        <x14:dataValidation type="list" allowBlank="1" showInputMessage="1" showErrorMessage="1" xr:uid="{DBB9BBFF-6AB9-47D2-A7B3-B021EC8A40B5}">
          <x14:formula1>
            <xm:f>'SA Validation'!$A$65:$A$66</xm:f>
          </x14:formula1>
          <xm:sqref>D22</xm:sqref>
        </x14:dataValidation>
        <x14:dataValidation type="list" allowBlank="1" showInputMessage="1" showErrorMessage="1" xr:uid="{0B6A5631-E34A-45FB-AAAA-6467E5124FD5}">
          <x14:formula1>
            <xm:f>'SA Validation'!$A$56:$A$61</xm:f>
          </x14:formula1>
          <xm:sqref>D21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9677-6CFC-410C-A45F-E731EFDAF6BC}">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FA'!$D$33+2%)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FA'!$D$33+2%)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FA'!$D$33+0%)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FA'!$D$33+0%)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FA'!$D$33+2%)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FA'!$D$33+2%)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FA'!$D$33+2%)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FA'!$D$33+2%)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FA'!$D$33+0%)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FA'!$D$33+0%)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FA'!$D$33+2%)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FA'!$D$33+2%)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FA'!$D$33+2%)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FA'!$D$33+2%)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FA'!$D$33+0%)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FA'!$D$33+0%)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FA'!$D$33+2%)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FA'!$D$33+2%)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FA'!$D$33+2%)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FA'!$D$33+2%)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FA'!$D$33+0%)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FA'!$D$33+0%)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FA'!$D$33+2%)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FA'!$D$33+2%)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FA'!$D$33+2%)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FA'!$D$33+2%)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FA'!$D$33+0%)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FA'!$D$33+0%)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FA'!$D$33+2%)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FA'!$D$33+2%)</f>
        <v>5.5E-2</v>
      </c>
    </row>
  </sheetData>
  <autoFilter ref="A1:F19" xr:uid="{7E0F9677-6CFC-410C-A45F-E731EFDAF6BC}"/>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857A-A0A2-49C8-A10D-AC8D7C3D127A}">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FA'!$D$33+2%)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FA'!$D$33+2%)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FA'!$D$33+0%)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FA'!$D$33+0%)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FA'!$D$33+2%)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FA'!$D$33+2%)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FA'!$D$33+2%)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FA'!$D$33+2%)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FA'!$D$33+0%)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FA'!$D$33+0%)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FA'!$D$33+2%)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FA'!$D$33+2%)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FA'!$D$33+2%)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FA'!$D$33+2%)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FA'!$D$33+0%)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FA'!$D$33+0%)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FA'!$D$33+2%)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FA'!$D$33+2%)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FA'!$D$33+2%)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FA'!$D$33+2%)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FA'!$D$33+0%)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FA'!$D$33+0%)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FA'!$D$33+2%)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FA'!$D$33+2%)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FA'!$D$33+2%)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FA'!$D$33+2%)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FA'!$D$33+0%)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FA'!$D$33+0%)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FA'!$D$33+2%)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FA'!$D$33+2%)</f>
        <v>5.5E-2</v>
      </c>
    </row>
  </sheetData>
  <autoFilter ref="A1:F19" xr:uid="{7E0F9677-6CFC-410C-A45F-E731EFDAF6BC}"/>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8544-8A5C-40D6-9DA6-4D9E07E0C3F3}">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FA'!$D$33+2%)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FA'!$D$33+2%)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FA'!$D$33+0%)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FA'!$D$33+0%)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FA'!$D$33+2%)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FA'!$D$33+2%)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FA'!$D$33+2%)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FA'!$D$33+2%)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FA'!$D$33+0%)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FA'!$D$33+0%)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FA'!$D$33+2%)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FA'!$D$33+2%)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FA'!$D$33+2%)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FA'!$D$33+2%)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FA'!$D$33+0%)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FA'!$D$33+0%)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FA'!$D$33+2%)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FA'!$D$33+2%)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FA'!$D$33+2%)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FA'!$D$33+2%)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FA'!$D$33+0%)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FA'!$D$33+0%)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FA'!$D$33+2%)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FA'!$D$33+2%)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FA'!$D$33+2%)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FA'!$D$33+2%)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FA'!$D$33+0%)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FA'!$D$33+0%)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FA'!$D$33+2%)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FA'!$D$33+2%)</f>
        <v>5.5E-2</v>
      </c>
    </row>
  </sheetData>
  <autoFilter ref="A1:F19" xr:uid="{7E0F9677-6CFC-410C-A45F-E731EFDAF6BC}"/>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71C3-FF37-4318-97CF-5388B2111226}">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FA'!$D$47+2%)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FA'!$D$47+2%)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FA'!$D$47+0%)</f>
        <v>0.04</v>
      </c>
    </row>
    <row r="5" spans="1:6" x14ac:dyDescent="0.35">
      <c r="A5" s="24" t="str">
        <f>'SA Validation'!$A$15</f>
        <v>Owned in personal names</v>
      </c>
      <c r="B5" s="117">
        <v>1.25</v>
      </c>
      <c r="C5" s="54" t="str">
        <f>'SA Validation'!$A$4</f>
        <v>Fixed for 5 or more years</v>
      </c>
      <c r="D5" s="54" t="str">
        <f>'MA Validation'!$A$53</f>
        <v>&gt;65%</v>
      </c>
      <c r="E5" s="45" t="str">
        <f t="shared" ref="E5:E31" si="1">CONCATENATE(A5,", ",B5,", ",C5,", ",D5)</f>
        <v>Owned in personal names, 1.25, Fixed for 5 or more years, &gt;65%</v>
      </c>
      <c r="F5" s="9">
        <f>MAX(4.5%,'Multiple Account FA'!$D$47+0%)</f>
        <v>4.4999999999999998E-2</v>
      </c>
    </row>
    <row r="6" spans="1:6" x14ac:dyDescent="0.35">
      <c r="A6" s="24" t="str">
        <f>'SA Validation'!$A$15</f>
        <v>Owned in personal names</v>
      </c>
      <c r="B6" s="117">
        <v>1.25</v>
      </c>
      <c r="C6" s="54" t="str">
        <f>'SA Validation'!$A$5</f>
        <v>Tracker or Variable</v>
      </c>
      <c r="D6" s="54" t="str">
        <f>'MA Validation'!$A$52</f>
        <v>=&lt;65%</v>
      </c>
      <c r="E6" s="45" t="str">
        <f t="shared" si="1"/>
        <v>Owned in personal names, 1.25, Tracker or Variable, =&lt;65%</v>
      </c>
      <c r="F6" s="9">
        <f>MAX(5.5%,'Multiple Account FA'!$D$47+2%)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FA'!$D$47+2%)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FA'!$D$47+2%)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FA'!$D$47+2%)</f>
        <v>5.5E-2</v>
      </c>
    </row>
    <row r="10" spans="1:6" x14ac:dyDescent="0.35">
      <c r="A10" s="52" t="str">
        <f>'SA Validation'!$A$15</f>
        <v>Owned in personal names</v>
      </c>
      <c r="B10" s="159">
        <v>1.6</v>
      </c>
      <c r="C10" s="162" t="str">
        <f>'SA Validation'!$A$4</f>
        <v>Fixed for 5 or more years</v>
      </c>
      <c r="D10" s="162" t="str">
        <f>'MA Validation'!$A$52</f>
        <v>=&lt;65%</v>
      </c>
      <c r="E10" s="158" t="str">
        <f t="shared" si="1"/>
        <v>Owned in personal names, 1.6, Fixed for 5 or more years, =&lt;65%</v>
      </c>
      <c r="F10" s="161">
        <f>MAX(4%,'Multiple Account FA'!$D$47+0%)</f>
        <v>0.04</v>
      </c>
    </row>
    <row r="11" spans="1:6" x14ac:dyDescent="0.35">
      <c r="A11" s="24" t="str">
        <f>'SA Validation'!$A$15</f>
        <v>Owned in personal names</v>
      </c>
      <c r="B11" s="117">
        <v>1.6</v>
      </c>
      <c r="C11" s="54" t="str">
        <f>'SA Validation'!$A$4</f>
        <v>Fixed for 5 or more years</v>
      </c>
      <c r="D11" s="54" t="str">
        <f>'MA Validation'!$A$53</f>
        <v>&gt;65%</v>
      </c>
      <c r="E11" s="45" t="str">
        <f t="shared" si="1"/>
        <v>Owned in personal names, 1.6, Fixed for 5 or more years, &gt;65%</v>
      </c>
      <c r="F11" s="9">
        <f>MAX(4.5%,'Multiple Account FA'!$D$47+0%)</f>
        <v>4.4999999999999998E-2</v>
      </c>
    </row>
    <row r="12" spans="1:6" x14ac:dyDescent="0.35">
      <c r="A12" s="120" t="str">
        <f>'SA Validation'!$A$15</f>
        <v>Owned in personal names</v>
      </c>
      <c r="B12" s="124">
        <v>1.6</v>
      </c>
      <c r="C12" s="125" t="str">
        <f>'SA Validation'!$A$5</f>
        <v>Tracker or Variable</v>
      </c>
      <c r="D12" s="125" t="str">
        <f>'MA Validation'!$A$52</f>
        <v>=&lt;65%</v>
      </c>
      <c r="E12" s="122" t="str">
        <f t="shared" si="1"/>
        <v>Owned in personal names, 1.6, Tracker or Variable, =&lt;65%</v>
      </c>
      <c r="F12" s="123">
        <f>MAX(5.5%,'Multiple Account FA'!$D$47+2%)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1"/>
        <v>Owned in personal names, 1.6, Tracker or Variable, &gt;65%</v>
      </c>
      <c r="F13" s="123">
        <f>MAX(5.5%,'Multiple Account FA'!$D$47+2%)</f>
        <v>5.5E-2</v>
      </c>
    </row>
    <row r="14" spans="1:6" x14ac:dyDescent="0.35">
      <c r="A14" s="23" t="str">
        <f>'SA Validation'!$A$15</f>
        <v>Owned in personal names</v>
      </c>
      <c r="B14" s="116">
        <v>1.75</v>
      </c>
      <c r="C14" s="53" t="str">
        <f>'SA Validation'!$A$3</f>
        <v>Fixed for less than 5 years</v>
      </c>
      <c r="D14" s="53" t="str">
        <f>'MA Validation'!$A$52</f>
        <v>=&lt;65%</v>
      </c>
      <c r="E14" s="46" t="str">
        <f t="shared" si="1"/>
        <v>Owned in personal names, 1.75, Fixed for less than 5 years, =&lt;65%</v>
      </c>
      <c r="F14" s="8">
        <f>MAX(5.5%,'Multiple Account FA'!$D$47+2%)</f>
        <v>5.5E-2</v>
      </c>
    </row>
    <row r="15" spans="1:6" x14ac:dyDescent="0.35">
      <c r="A15" s="52" t="str">
        <f>'SA Validation'!$A$15</f>
        <v>Owned in personal names</v>
      </c>
      <c r="B15" s="159">
        <v>1.75</v>
      </c>
      <c r="C15" s="162" t="str">
        <f>'SA Validation'!$A$3</f>
        <v>Fixed for less than 5 years</v>
      </c>
      <c r="D15" s="162" t="str">
        <f>'MA Validation'!$A$53</f>
        <v>&gt;65%</v>
      </c>
      <c r="E15" s="158" t="str">
        <f t="shared" si="1"/>
        <v>Owned in personal names, 1.75, Fixed for less than 5 years, &gt;65%</v>
      </c>
      <c r="F15" s="161">
        <f>MAX(5.5%,'Multiple Account FA'!$D$47+2%)</f>
        <v>5.5E-2</v>
      </c>
    </row>
    <row r="16" spans="1:6" x14ac:dyDescent="0.35">
      <c r="A16" s="52" t="str">
        <f>'SA Validation'!$A$15</f>
        <v>Owned in personal names</v>
      </c>
      <c r="B16" s="159">
        <v>1.75</v>
      </c>
      <c r="C16" s="162" t="str">
        <f>'SA Validation'!$A$4</f>
        <v>Fixed for 5 or more years</v>
      </c>
      <c r="D16" s="162" t="str">
        <f>'MA Validation'!$A$52</f>
        <v>=&lt;65%</v>
      </c>
      <c r="E16" s="158" t="str">
        <f t="shared" si="1"/>
        <v>Owned in personal names, 1.75, Fixed for 5 or more years, =&lt;65%</v>
      </c>
      <c r="F16" s="161">
        <f>MAX(4%,'Multiple Account FA'!$D$47+0%)</f>
        <v>0.04</v>
      </c>
    </row>
    <row r="17" spans="1:6" x14ac:dyDescent="0.35">
      <c r="A17" s="24" t="str">
        <f>'SA Validation'!$A$15</f>
        <v>Owned in personal names</v>
      </c>
      <c r="B17" s="117">
        <v>1.75</v>
      </c>
      <c r="C17" s="54" t="str">
        <f>'SA Validation'!$A$4</f>
        <v>Fixed for 5 or more years</v>
      </c>
      <c r="D17" s="54" t="str">
        <f>'MA Validation'!$A$53</f>
        <v>&gt;65%</v>
      </c>
      <c r="E17" s="45" t="str">
        <f t="shared" si="1"/>
        <v>Owned in personal names, 1.75, Fixed for 5 or more years, &gt;65%</v>
      </c>
      <c r="F17" s="9">
        <f>MAX(4.5%,'Multiple Account FA'!$D$47+0%)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si="1"/>
        <v>Owned in personal names, 1.75, Tracker or Variable, =&lt;65%</v>
      </c>
      <c r="F18" s="123">
        <f>MAX(5.5%,'Multiple Account FA'!$D$47+2%)</f>
        <v>5.5E-2</v>
      </c>
    </row>
    <row r="19" spans="1:6" ht="15" thickBot="1" x14ac:dyDescent="0.4">
      <c r="A19" s="25" t="str">
        <f>'SA Validation'!$A$15</f>
        <v>Owned in personal names</v>
      </c>
      <c r="B19" s="118">
        <v>1.75</v>
      </c>
      <c r="C19" s="55" t="str">
        <f>'SA Validation'!$A$5</f>
        <v>Tracker or Variable</v>
      </c>
      <c r="D19" s="55" t="str">
        <f>'MA Validation'!$A$53</f>
        <v>&gt;65%</v>
      </c>
      <c r="E19" s="47" t="str">
        <f t="shared" si="1"/>
        <v>Owned in personal names, 1.75, Tracker or Variable, &gt;65%</v>
      </c>
      <c r="F19" s="12">
        <f>MAX(5.5%,'Multiple Account FA'!$D$47+2%)</f>
        <v>5.5E-2</v>
      </c>
    </row>
    <row r="20" spans="1:6" x14ac:dyDescent="0.35">
      <c r="A20" s="23" t="str">
        <f>'SA Validation'!$A$16</f>
        <v>Owned in a Limited Company</v>
      </c>
      <c r="B20" s="116">
        <v>1.25</v>
      </c>
      <c r="C20" s="53" t="str">
        <f>'SA Validation'!$A$3</f>
        <v>Fixed for less than 5 years</v>
      </c>
      <c r="D20" s="53" t="str">
        <f>'MA Validation'!$A$52</f>
        <v>=&lt;65%</v>
      </c>
      <c r="E20" s="46" t="str">
        <f t="shared" si="1"/>
        <v>Owned in a Limited Company, 1.25, Fixed for less than 5 years, =&lt;65%</v>
      </c>
      <c r="F20" s="8">
        <f>MAX(5.5%,'Multiple Account FA'!$D$47+2%)</f>
        <v>5.5E-2</v>
      </c>
    </row>
    <row r="21" spans="1:6" x14ac:dyDescent="0.35">
      <c r="A21" s="52" t="str">
        <f>'SA Validation'!$A$16</f>
        <v>Owned in a Limited Company</v>
      </c>
      <c r="B21" s="159">
        <v>1.25</v>
      </c>
      <c r="C21" s="162" t="str">
        <f>'SA Validation'!$A$3</f>
        <v>Fixed for less than 5 years</v>
      </c>
      <c r="D21" s="162" t="str">
        <f>'MA Validation'!$A$53</f>
        <v>&gt;65%</v>
      </c>
      <c r="E21" s="158" t="str">
        <f t="shared" si="1"/>
        <v>Owned in a Limited Company, 1.25, Fixed for less than 5 years, &gt;65%</v>
      </c>
      <c r="F21" s="161">
        <f>MAX(5.5%,'Multiple Account FA'!$D$47+2%)</f>
        <v>5.5E-2</v>
      </c>
    </row>
    <row r="22" spans="1:6" x14ac:dyDescent="0.35">
      <c r="A22" s="52" t="str">
        <f>'SA Validation'!$A$16</f>
        <v>Owned in a Limited Company</v>
      </c>
      <c r="B22" s="159">
        <v>1.25</v>
      </c>
      <c r="C22" s="162" t="str">
        <f>'SA Validation'!$A$4</f>
        <v>Fixed for 5 or more years</v>
      </c>
      <c r="D22" s="162" t="str">
        <f>'MA Validation'!$A$52</f>
        <v>=&lt;65%</v>
      </c>
      <c r="E22" s="158" t="str">
        <f t="shared" si="1"/>
        <v>Owned in a Limited Company, 1.25, Fixed for 5 or more years, =&lt;65%</v>
      </c>
      <c r="F22" s="161">
        <f>MAX(4.5%,'Multiple Account FA'!$D$47+0%)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1"/>
        <v>Owned in a Limited Company, 1.25, Fixed for 5 or more years, &gt;65%</v>
      </c>
      <c r="F23" s="9">
        <f>MAX(4.5%,'Multiple Account FA'!$D$47+0%)</f>
        <v>4.4999999999999998E-2</v>
      </c>
    </row>
    <row r="24" spans="1:6" x14ac:dyDescent="0.35">
      <c r="A24" s="120" t="str">
        <f>'SA Validation'!$A$16</f>
        <v>Owned in a Limited Company</v>
      </c>
      <c r="B24" s="124">
        <v>1.25</v>
      </c>
      <c r="C24" s="125" t="str">
        <f>'SA Validation'!$A$5</f>
        <v>Tracker or Variable</v>
      </c>
      <c r="D24" s="125" t="str">
        <f>'MA Validation'!$A$52</f>
        <v>=&lt;65%</v>
      </c>
      <c r="E24" s="122" t="str">
        <f t="shared" si="1"/>
        <v>Owned in a Limited Company, 1.25, Tracker or Variable, =&lt;65%</v>
      </c>
      <c r="F24" s="123">
        <f>MAX(5.5%,'Multiple Account FA'!$D$47+2%)</f>
        <v>5.5E-2</v>
      </c>
    </row>
    <row r="25" spans="1:6" ht="15" thickBot="1" x14ac:dyDescent="0.4">
      <c r="A25" s="25" t="str">
        <f>'SA Validation'!$A$16</f>
        <v>Owned in a Limited Company</v>
      </c>
      <c r="B25" s="118">
        <v>1.25</v>
      </c>
      <c r="C25" s="55" t="str">
        <f>'SA Validation'!$A$5</f>
        <v>Tracker or Variable</v>
      </c>
      <c r="D25" s="55" t="str">
        <f>'MA Validation'!$A$53</f>
        <v>&gt;65%</v>
      </c>
      <c r="E25" s="47" t="str">
        <f t="shared" si="1"/>
        <v>Owned in a Limited Company, 1.25, Tracker or Variable, &gt;65%</v>
      </c>
      <c r="F25" s="12">
        <f>MAX(5.5%,'Multiple Account FA'!$D$47+2%)</f>
        <v>5.5E-2</v>
      </c>
    </row>
    <row r="26" spans="1:6" x14ac:dyDescent="0.35">
      <c r="A26" s="23" t="str">
        <f>'SA Validation'!$A$16</f>
        <v>Owned in a Limited Company</v>
      </c>
      <c r="B26" s="116">
        <v>1.75</v>
      </c>
      <c r="C26" s="53" t="str">
        <f>'SA Validation'!$A$3</f>
        <v>Fixed for less than 5 years</v>
      </c>
      <c r="D26" s="53" t="str">
        <f>'MA Validation'!$A$52</f>
        <v>=&lt;65%</v>
      </c>
      <c r="E26" s="46" t="str">
        <f t="shared" si="1"/>
        <v>Owned in a Limited Company, 1.75, Fixed for less than 5 years, =&lt;65%</v>
      </c>
      <c r="F26" s="8">
        <f>MAX(5.5%,'Multiple Account FA'!$D$47+2%)</f>
        <v>5.5E-2</v>
      </c>
    </row>
    <row r="27" spans="1:6" x14ac:dyDescent="0.35">
      <c r="A27" s="52" t="str">
        <f>'SA Validation'!$A$16</f>
        <v>Owned in a Limited Company</v>
      </c>
      <c r="B27" s="159">
        <v>1.75</v>
      </c>
      <c r="C27" s="162" t="str">
        <f>'SA Validation'!$A$3</f>
        <v>Fixed for less than 5 years</v>
      </c>
      <c r="D27" s="162" t="str">
        <f>'MA Validation'!$A$53</f>
        <v>&gt;65%</v>
      </c>
      <c r="E27" s="158" t="str">
        <f t="shared" si="1"/>
        <v>Owned in a Limited Company, 1.75, Fixed for less than 5 years, &gt;65%</v>
      </c>
      <c r="F27" s="161">
        <f>MAX(5.5%,'Multiple Account FA'!$D$47+2%)</f>
        <v>5.5E-2</v>
      </c>
    </row>
    <row r="28" spans="1:6" x14ac:dyDescent="0.35">
      <c r="A28" s="24" t="str">
        <f>'SA Validation'!$A$16</f>
        <v>Owned in a Limited Company</v>
      </c>
      <c r="B28" s="117">
        <v>1.75</v>
      </c>
      <c r="C28" s="54" t="str">
        <f>'SA Validation'!$A$4</f>
        <v>Fixed for 5 or more years</v>
      </c>
      <c r="D28" s="54" t="str">
        <f>'MA Validation'!$A$52</f>
        <v>=&lt;65%</v>
      </c>
      <c r="E28" s="45" t="str">
        <f t="shared" si="1"/>
        <v>Owned in a Limited Company, 1.75, Fixed for 5 or more years, =&lt;65%</v>
      </c>
      <c r="F28" s="9">
        <f>MAX(4.5%,'Multiple Account FA'!$D$47+0%)</f>
        <v>4.4999999999999998E-2</v>
      </c>
    </row>
    <row r="29" spans="1:6" x14ac:dyDescent="0.35">
      <c r="A29" s="120" t="str">
        <f>'SA Validation'!$A$16</f>
        <v>Owned in a Limited Company</v>
      </c>
      <c r="B29" s="124">
        <v>1.75</v>
      </c>
      <c r="C29" s="125" t="str">
        <f>'SA Validation'!$A$4</f>
        <v>Fixed for 5 or more years</v>
      </c>
      <c r="D29" s="125" t="str">
        <f>'MA Validation'!$A$53</f>
        <v>&gt;65%</v>
      </c>
      <c r="E29" s="122" t="str">
        <f t="shared" si="1"/>
        <v>Owned in a Limited Company, 1.75, Fixed for 5 or more years, &gt;65%</v>
      </c>
      <c r="F29" s="123">
        <f>MAX(4.5%,'Multiple Account FA'!$D$47+0%)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1"/>
        <v>Owned in a Limited Company, 1.75, Tracker or Variable, =&lt;65%</v>
      </c>
      <c r="F30" s="123">
        <f>MAX(5.5%,'Multiple Account FA'!$D$47+2%)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1"/>
        <v>Owned in a Limited Company, 1.75, Tracker or Variable, &gt;65%</v>
      </c>
      <c r="F31" s="12">
        <f>MAX(5.5%,'Multiple Account FA'!$D$47+2%)</f>
        <v>5.5E-2</v>
      </c>
    </row>
  </sheetData>
  <autoFilter ref="A1:F31" xr:uid="{7F0C71C3-FF37-4318-97CF-5388B2111226}"/>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34E63-E546-4231-A451-6F5886F73FD7}">
  <sheetPr>
    <tabColor rgb="FF7030A0"/>
  </sheetPr>
  <dimension ref="A1:F22"/>
  <sheetViews>
    <sheetView zoomScale="85" zoomScaleNormal="85" workbookViewId="0">
      <selection activeCell="F32" sqref="F32"/>
    </sheetView>
  </sheetViews>
  <sheetFormatPr defaultColWidth="98.54296875" defaultRowHeight="14.5" x14ac:dyDescent="0.35"/>
  <cols>
    <col min="1" max="1" width="28.54296875" customWidth="1"/>
    <col min="2" max="2" width="29.81640625" customWidth="1"/>
    <col min="3" max="3" width="33.81640625" customWidth="1"/>
    <col min="4" max="4" width="33.54296875" customWidth="1"/>
    <col min="5" max="5" width="117.54296875" style="16" bestFit="1" customWidth="1"/>
    <col min="6" max="6" width="7.81640625" customWidth="1"/>
  </cols>
  <sheetData>
    <row r="1" spans="1:6" ht="15" thickBot="1" x14ac:dyDescent="0.4">
      <c r="A1" s="7" t="s">
        <v>78</v>
      </c>
      <c r="B1" s="7" t="s">
        <v>79</v>
      </c>
      <c r="C1" s="7" t="s">
        <v>80</v>
      </c>
      <c r="D1" s="7" t="s">
        <v>81</v>
      </c>
      <c r="E1" s="29" t="s">
        <v>82</v>
      </c>
      <c r="F1" s="17" t="s">
        <v>9</v>
      </c>
    </row>
    <row r="2" spans="1:6" ht="15" thickBot="1" x14ac:dyDescent="0.4">
      <c r="A2" s="18" t="str">
        <f>'SA Validation'!$A$15</f>
        <v>Owned in personal names</v>
      </c>
      <c r="B2" s="18" t="str">
        <f>'SA Validation'!$A$19</f>
        <v>Standard BTL</v>
      </c>
      <c r="C2" s="18" t="str">
        <f>'SA Validation'!$A$23</f>
        <v>3 or less properties at completion</v>
      </c>
      <c r="D2" s="27" t="str">
        <f>'SA Validation'!$A$27</f>
        <v>All applicants are Lower Rate</v>
      </c>
      <c r="E2" s="30" t="str">
        <f>CONCATENATE(A2,", ",B2,", ",C2,", ",D2)</f>
        <v>Owned in personal names, Standard BTL, 3 or less properties at completion, All applicants are Lower Rate</v>
      </c>
      <c r="F2" s="28">
        <v>1.25</v>
      </c>
    </row>
    <row r="3" spans="1:6" ht="15" thickBot="1" x14ac:dyDescent="0.4">
      <c r="A3" s="19" t="str">
        <f>'SA Validation'!$A$15</f>
        <v>Owned in personal names</v>
      </c>
      <c r="B3" s="19" t="str">
        <f>'SA Validation'!$A$19</f>
        <v>Standard BTL</v>
      </c>
      <c r="C3" s="20" t="str">
        <f>'SA Validation'!$A$23</f>
        <v>3 or less properties at completion</v>
      </c>
      <c r="D3" s="27" t="str">
        <f>'SA Validation'!$A$28</f>
        <v>At least 1 applicant is Higher Rate</v>
      </c>
      <c r="E3" s="30" t="str">
        <f t="shared" ref="E3:E17" si="0">CONCATENATE(A3,", ",B3,", ",C3,", ",D3)</f>
        <v>Owned in personal names, Standard BTL, 3 or less properties at completion, At least 1 applicant is Higher Rate</v>
      </c>
      <c r="F3" s="28">
        <v>1.6</v>
      </c>
    </row>
    <row r="4" spans="1:6" ht="15" thickBot="1" x14ac:dyDescent="0.4">
      <c r="A4" s="19" t="str">
        <f>'SA Validation'!$A$15</f>
        <v>Owned in personal names</v>
      </c>
      <c r="B4" s="19" t="str">
        <f>'SA Validation'!$A$19</f>
        <v>Standard BTL</v>
      </c>
      <c r="C4" s="18" t="str">
        <f>'SA Validation'!$A$24</f>
        <v>4 or more properties at completion</v>
      </c>
      <c r="D4" s="27" t="str">
        <f>'SA Validation'!$A$27</f>
        <v>All applicants are Lower Rate</v>
      </c>
      <c r="E4" s="30" t="str">
        <f t="shared" si="0"/>
        <v>Owned in personal names, Standard BTL, 4 or more properties at completion, All applicants are Lower Rate</v>
      </c>
      <c r="F4" s="28">
        <v>1.6</v>
      </c>
    </row>
    <row r="5" spans="1:6" ht="15" thickBot="1" x14ac:dyDescent="0.4">
      <c r="A5" s="19" t="str">
        <f>'SA Validation'!$A$15</f>
        <v>Owned in personal names</v>
      </c>
      <c r="B5" s="20" t="str">
        <f>'SA Validation'!$A$19</f>
        <v>Standard BTL</v>
      </c>
      <c r="C5" s="20" t="str">
        <f>'SA Validation'!$A$24</f>
        <v>4 or more properties at completion</v>
      </c>
      <c r="D5" s="27" t="str">
        <f>'SA Validation'!$A$28</f>
        <v>At least 1 applicant is Higher Rate</v>
      </c>
      <c r="E5" s="30" t="str">
        <f t="shared" si="0"/>
        <v>Owned in personal names, Standard BTL, 4 or more properties at completion, At least 1 applicant is Higher Rate</v>
      </c>
      <c r="F5" s="28">
        <v>1.6</v>
      </c>
    </row>
    <row r="6" spans="1:6" ht="15" thickBot="1" x14ac:dyDescent="0.4">
      <c r="A6" s="19" t="str">
        <f>'SA Validation'!$A$15</f>
        <v>Owned in personal names</v>
      </c>
      <c r="B6" s="18" t="str">
        <f>'SA Validation'!$A$20</f>
        <v>House in Multiple Occupation</v>
      </c>
      <c r="C6" s="18" t="str">
        <f>'SA Validation'!$A$23</f>
        <v>3 or less properties at completion</v>
      </c>
      <c r="D6" s="27" t="str">
        <f>'SA Validation'!$A$27</f>
        <v>All applicants are Lower Rate</v>
      </c>
      <c r="E6" s="30" t="str">
        <f t="shared" si="0"/>
        <v>Owned in personal names, House in Multiple Occupation, 3 or less properties at completion, All applicants are Lower Rate</v>
      </c>
      <c r="F6" s="28">
        <v>1.75</v>
      </c>
    </row>
    <row r="7" spans="1:6" ht="15" thickBot="1" x14ac:dyDescent="0.4">
      <c r="A7" s="19" t="str">
        <f>'SA Validation'!$A$15</f>
        <v>Owned in personal names</v>
      </c>
      <c r="B7" s="19" t="str">
        <f>'SA Validation'!$A$20</f>
        <v>House in Multiple Occupation</v>
      </c>
      <c r="C7" s="20" t="str">
        <f>'SA Validation'!$A$23</f>
        <v>3 or less properties at completion</v>
      </c>
      <c r="D7" s="27" t="str">
        <f>'SA Validation'!$A$28</f>
        <v>At least 1 applicant is Higher Rate</v>
      </c>
      <c r="E7" s="30" t="str">
        <f t="shared" si="0"/>
        <v>Owned in personal names, House in Multiple Occupation, 3 or less properties at completion, At least 1 applicant is Higher Rate</v>
      </c>
      <c r="F7" s="28">
        <v>1.75</v>
      </c>
    </row>
    <row r="8" spans="1:6" ht="15" thickBot="1" x14ac:dyDescent="0.4">
      <c r="A8" s="19" t="str">
        <f>'SA Validation'!$A$15</f>
        <v>Owned in personal names</v>
      </c>
      <c r="B8" s="19" t="str">
        <f>'SA Validation'!$A$20</f>
        <v>House in Multiple Occupation</v>
      </c>
      <c r="C8" s="18" t="str">
        <f>'SA Validation'!$A$24</f>
        <v>4 or more properties at completion</v>
      </c>
      <c r="D8" s="27" t="str">
        <f>'SA Validation'!$A$27</f>
        <v>All applicants are Lower Rate</v>
      </c>
      <c r="E8" s="30" t="str">
        <f t="shared" si="0"/>
        <v>Owned in personal names, House in Multiple Occupation, 4 or more properties at completion, All applicants are Lower Rate</v>
      </c>
      <c r="F8" s="28">
        <v>1.75</v>
      </c>
    </row>
    <row r="9" spans="1:6" ht="15" thickBot="1" x14ac:dyDescent="0.4">
      <c r="A9" s="22" t="str">
        <f>'SA Validation'!$A$15</f>
        <v>Owned in personal names</v>
      </c>
      <c r="B9" s="22" t="str">
        <f>'SA Validation'!$A$20</f>
        <v>House in Multiple Occupation</v>
      </c>
      <c r="C9" s="20" t="str">
        <f>'SA Validation'!$A$24</f>
        <v>4 or more properties at completion</v>
      </c>
      <c r="D9" s="27" t="str">
        <f>'SA Validation'!$A$28</f>
        <v>At least 1 applicant is Higher Rate</v>
      </c>
      <c r="E9" s="30" t="str">
        <f t="shared" si="0"/>
        <v>Owned in personal names, House in Multiple Occupation, 4 or more properties at completion, At least 1 applicant is Higher Rate</v>
      </c>
      <c r="F9" s="28">
        <v>1.75</v>
      </c>
    </row>
    <row r="10" spans="1:6" ht="15" thickBot="1" x14ac:dyDescent="0.4">
      <c r="A10" s="23" t="str">
        <f>'SA Validation'!$A$16</f>
        <v>Owned in a Limited Company</v>
      </c>
      <c r="B10" s="18" t="str">
        <f>'SA Validation'!$A$19</f>
        <v>Standard BTL</v>
      </c>
      <c r="C10" s="18" t="str">
        <f>'SA Validation'!$A$23</f>
        <v>3 or less properties at completion</v>
      </c>
      <c r="D10" s="27" t="str">
        <f>'SA Validation'!$A$27</f>
        <v>All applicants are Lower Rate</v>
      </c>
      <c r="E10" s="30" t="str">
        <f t="shared" si="0"/>
        <v>Owned in a Limited Company, Standard BTL, 3 or less properties at completion, All applicants are Lower Rate</v>
      </c>
      <c r="F10" s="28">
        <v>1.25</v>
      </c>
    </row>
    <row r="11" spans="1:6" ht="15" thickBot="1" x14ac:dyDescent="0.4">
      <c r="A11" s="24" t="str">
        <f>'SA Validation'!$A$16</f>
        <v>Owned in a Limited Company</v>
      </c>
      <c r="B11" s="19" t="str">
        <f>'SA Validation'!$A$19</f>
        <v>Standard BTL</v>
      </c>
      <c r="C11" s="20" t="str">
        <f>'SA Validation'!$A$23</f>
        <v>3 or less properties at completion</v>
      </c>
      <c r="D11" s="27" t="str">
        <f>'SA Validation'!$A$28</f>
        <v>At least 1 applicant is Higher Rate</v>
      </c>
      <c r="E11" s="30" t="str">
        <f t="shared" si="0"/>
        <v>Owned in a Limited Company, Standard BTL, 3 or less properties at completion, At least 1 applicant is Higher Rate</v>
      </c>
      <c r="F11" s="28">
        <v>1.25</v>
      </c>
    </row>
    <row r="12" spans="1:6" ht="15" thickBot="1" x14ac:dyDescent="0.4">
      <c r="A12" s="24" t="str">
        <f>'SA Validation'!$A$16</f>
        <v>Owned in a Limited Company</v>
      </c>
      <c r="B12" s="19" t="str">
        <f>'SA Validation'!$A$19</f>
        <v>Standard BTL</v>
      </c>
      <c r="C12" s="18" t="str">
        <f>'SA Validation'!$A$24</f>
        <v>4 or more properties at completion</v>
      </c>
      <c r="D12" s="27" t="str">
        <f>'SA Validation'!$A$27</f>
        <v>All applicants are Lower Rate</v>
      </c>
      <c r="E12" s="30" t="str">
        <f t="shared" si="0"/>
        <v>Owned in a Limited Company, Standard BTL, 4 or more properties at completion, All applicants are Lower Rate</v>
      </c>
      <c r="F12" s="28">
        <v>1.25</v>
      </c>
    </row>
    <row r="13" spans="1:6" ht="15" thickBot="1" x14ac:dyDescent="0.4">
      <c r="A13" s="24" t="str">
        <f>'SA Validation'!$A$16</f>
        <v>Owned in a Limited Company</v>
      </c>
      <c r="B13" s="22" t="str">
        <f>'SA Validation'!$A$19</f>
        <v>Standard BTL</v>
      </c>
      <c r="C13" s="20" t="str">
        <f>'SA Validation'!$A$24</f>
        <v>4 or more properties at completion</v>
      </c>
      <c r="D13" s="27" t="str">
        <f>'SA Validation'!$A$28</f>
        <v>At least 1 applicant is Higher Rate</v>
      </c>
      <c r="E13" s="30" t="str">
        <f t="shared" si="0"/>
        <v>Owned in a Limited Company, Standard BTL, 4 or more properties at completion, At least 1 applicant is Higher Rate</v>
      </c>
      <c r="F13" s="28">
        <v>1.25</v>
      </c>
    </row>
    <row r="14" spans="1:6" ht="15" thickBot="1" x14ac:dyDescent="0.4">
      <c r="A14" s="19" t="str">
        <f>'SA Validation'!$A$16</f>
        <v>Owned in a Limited Company</v>
      </c>
      <c r="B14" s="23" t="str">
        <f>'SA Validation'!$A$20</f>
        <v>House in Multiple Occupation</v>
      </c>
      <c r="C14" s="26" t="str">
        <f>'SA Validation'!$A$23</f>
        <v>3 or less properties at completion</v>
      </c>
      <c r="D14" s="27" t="str">
        <f>'SA Validation'!$A$27</f>
        <v>All applicants are Lower Rate</v>
      </c>
      <c r="E14" s="30" t="str">
        <f t="shared" si="0"/>
        <v>Owned in a Limited Company, House in Multiple Occupation, 3 or less properties at completion, All applicants are Lower Rate</v>
      </c>
      <c r="F14" s="28">
        <v>1.75</v>
      </c>
    </row>
    <row r="15" spans="1:6" ht="15" thickBot="1" x14ac:dyDescent="0.4">
      <c r="A15" s="19" t="str">
        <f>'SA Validation'!$A$16</f>
        <v>Owned in a Limited Company</v>
      </c>
      <c r="B15" s="24" t="str">
        <f>'SA Validation'!$A$20</f>
        <v>House in Multiple Occupation</v>
      </c>
      <c r="C15" s="21" t="str">
        <f>'SA Validation'!$A$23</f>
        <v>3 or less properties at completion</v>
      </c>
      <c r="D15" s="27" t="str">
        <f>'SA Validation'!$A$28</f>
        <v>At least 1 applicant is Higher Rate</v>
      </c>
      <c r="E15" s="30" t="str">
        <f t="shared" si="0"/>
        <v>Owned in a Limited Company, House in Multiple Occupation, 3 or less properties at completion, At least 1 applicant is Higher Rate</v>
      </c>
      <c r="F15" s="28">
        <v>1.75</v>
      </c>
    </row>
    <row r="16" spans="1:6" ht="15" thickBot="1" x14ac:dyDescent="0.4">
      <c r="A16" s="19" t="str">
        <f>'SA Validation'!$A$16</f>
        <v>Owned in a Limited Company</v>
      </c>
      <c r="B16" s="24" t="str">
        <f>'SA Validation'!$A$20</f>
        <v>House in Multiple Occupation</v>
      </c>
      <c r="C16" s="26" t="str">
        <f>'SA Validation'!$A$24</f>
        <v>4 or more properties at completion</v>
      </c>
      <c r="D16" s="27" t="str">
        <f>'SA Validation'!$A$27</f>
        <v>All applicants are Lower Rate</v>
      </c>
      <c r="E16" s="30" t="str">
        <f t="shared" si="0"/>
        <v>Owned in a Limited Company, House in Multiple Occupation, 4 or more properties at completion, All applicants are Lower Rate</v>
      </c>
      <c r="F16" s="28">
        <v>1.75</v>
      </c>
    </row>
    <row r="17" spans="1:6" ht="15" thickBot="1" x14ac:dyDescent="0.4">
      <c r="A17" s="20" t="str">
        <f>'SA Validation'!$A$16</f>
        <v>Owned in a Limited Company</v>
      </c>
      <c r="B17" s="25" t="str">
        <f>'SA Validation'!$A$20</f>
        <v>House in Multiple Occupation</v>
      </c>
      <c r="C17" s="21" t="str">
        <f>'SA Validation'!$A$24</f>
        <v>4 or more properties at completion</v>
      </c>
      <c r="D17" s="27" t="str">
        <f>'SA Validation'!$A$28</f>
        <v>At least 1 applicant is Higher Rate</v>
      </c>
      <c r="E17" s="30" t="str">
        <f t="shared" si="0"/>
        <v>Owned in a Limited Company, House in Multiple Occupation, 4 or more properties at completion, At least 1 applicant is Higher Rate</v>
      </c>
      <c r="F17" s="28">
        <v>1.75</v>
      </c>
    </row>
    <row r="22" spans="1:6" x14ac:dyDescent="0.35">
      <c r="A22" s="31"/>
      <c r="B22" s="31"/>
      <c r="C22" s="31"/>
      <c r="D22" s="31"/>
    </row>
  </sheetData>
  <phoneticPr fontId="8" type="noConversion"/>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A464-9BEC-4134-B8C2-13BC1FEA745F}">
  <sheetPr>
    <tabColor theme="9"/>
  </sheetPr>
  <dimension ref="A1:E25"/>
  <sheetViews>
    <sheetView zoomScaleNormal="100" workbookViewId="0">
      <selection activeCell="F32" sqref="F32"/>
    </sheetView>
  </sheetViews>
  <sheetFormatPr defaultRowHeight="14.5" x14ac:dyDescent="0.35"/>
  <cols>
    <col min="1" max="1" width="36.81640625" customWidth="1"/>
    <col min="2" max="2" width="29.7265625" customWidth="1"/>
    <col min="3" max="3" width="17.7265625" style="39" bestFit="1" customWidth="1"/>
    <col min="4" max="4" width="78.81640625" style="16" bestFit="1" customWidth="1"/>
    <col min="5" max="5" width="25.54296875" customWidth="1"/>
    <col min="6" max="6" width="20.81640625" customWidth="1"/>
  </cols>
  <sheetData>
    <row r="1" spans="1:5" ht="15" thickBot="1" x14ac:dyDescent="0.4">
      <c r="A1" s="7" t="s">
        <v>83</v>
      </c>
      <c r="B1" s="7" t="s">
        <v>79</v>
      </c>
      <c r="C1" s="40" t="s">
        <v>77</v>
      </c>
      <c r="D1" s="36" t="s">
        <v>84</v>
      </c>
      <c r="E1" s="32" t="s">
        <v>85</v>
      </c>
    </row>
    <row r="2" spans="1:5" x14ac:dyDescent="0.35">
      <c r="A2" s="18" t="str">
        <f>'SA Validation'!$A$32</f>
        <v>No</v>
      </c>
      <c r="B2" s="23" t="str">
        <f>'SA Validation'!$A$19</f>
        <v>Standard BTL</v>
      </c>
      <c r="C2" s="49">
        <v>0.5</v>
      </c>
      <c r="D2" s="13" t="str">
        <f t="shared" ref="D2:D25" si="0">CONCATENATE(A2,", ",B2,", ",C2)</f>
        <v>No, Standard BTL, 0.5</v>
      </c>
      <c r="E2" s="33">
        <v>1000000</v>
      </c>
    </row>
    <row r="3" spans="1:5" x14ac:dyDescent="0.35">
      <c r="A3" s="19" t="str">
        <f>'SA Validation'!$A$32</f>
        <v>No</v>
      </c>
      <c r="B3" s="24" t="str">
        <f>'SA Validation'!$A$19</f>
        <v>Standard BTL</v>
      </c>
      <c r="C3" s="50">
        <v>0.6</v>
      </c>
      <c r="D3" s="14" t="str">
        <f t="shared" si="0"/>
        <v>No, Standard BTL, 0.6</v>
      </c>
      <c r="E3" s="34">
        <v>750000</v>
      </c>
    </row>
    <row r="4" spans="1:5" x14ac:dyDescent="0.35">
      <c r="A4" s="19" t="str">
        <f>'SA Validation'!$A$32</f>
        <v>No</v>
      </c>
      <c r="B4" s="24" t="str">
        <f>'SA Validation'!$A$19</f>
        <v>Standard BTL</v>
      </c>
      <c r="C4" s="50">
        <v>0.65</v>
      </c>
      <c r="D4" s="14" t="str">
        <f t="shared" si="0"/>
        <v>No, Standard BTL, 0.65</v>
      </c>
      <c r="E4" s="34">
        <v>750000</v>
      </c>
    </row>
    <row r="5" spans="1:5" x14ac:dyDescent="0.35">
      <c r="A5" s="19" t="str">
        <f>'SA Validation'!$A$32</f>
        <v>No</v>
      </c>
      <c r="B5" s="24" t="str">
        <f>'SA Validation'!$A$19</f>
        <v>Standard BTL</v>
      </c>
      <c r="C5" s="50">
        <v>0.7</v>
      </c>
      <c r="D5" s="14" t="str">
        <f t="shared" si="0"/>
        <v>No, Standard BTL, 0.7</v>
      </c>
      <c r="E5" s="34">
        <v>750000</v>
      </c>
    </row>
    <row r="6" spans="1:5" x14ac:dyDescent="0.35">
      <c r="A6" s="19" t="str">
        <f>'SA Validation'!$A$32</f>
        <v>No</v>
      </c>
      <c r="B6" s="24" t="str">
        <f>'SA Validation'!$A$19</f>
        <v>Standard BTL</v>
      </c>
      <c r="C6" s="50">
        <v>0.75</v>
      </c>
      <c r="D6" s="14" t="str">
        <f t="shared" si="0"/>
        <v>No, Standard BTL, 0.75</v>
      </c>
      <c r="E6" s="34">
        <v>500000</v>
      </c>
    </row>
    <row r="7" spans="1:5" ht="15" thickBot="1" x14ac:dyDescent="0.4">
      <c r="A7" s="19" t="str">
        <f>'SA Validation'!$A$32</f>
        <v>No</v>
      </c>
      <c r="B7" s="25" t="str">
        <f>'SA Validation'!$A$19</f>
        <v>Standard BTL</v>
      </c>
      <c r="C7" s="50">
        <v>0.8</v>
      </c>
      <c r="D7" s="14" t="str">
        <f t="shared" ref="D7" si="1">CONCATENATE(A7,", ",B7,", ",C7)</f>
        <v>No, Standard BTL, 0.8</v>
      </c>
      <c r="E7" s="34">
        <v>500000</v>
      </c>
    </row>
    <row r="8" spans="1:5" x14ac:dyDescent="0.35">
      <c r="A8" s="24" t="str">
        <f>'SA Validation'!$A$32</f>
        <v>No</v>
      </c>
      <c r="B8" s="52" t="str">
        <f>'SA Validation'!$A$20</f>
        <v>House in Multiple Occupation</v>
      </c>
      <c r="C8" s="49">
        <v>0.5</v>
      </c>
      <c r="D8" s="13" t="str">
        <f t="shared" si="0"/>
        <v>No, House in Multiple Occupation, 0.5</v>
      </c>
      <c r="E8" s="33">
        <v>0</v>
      </c>
    </row>
    <row r="9" spans="1:5" x14ac:dyDescent="0.35">
      <c r="A9" s="24" t="str">
        <f>'SA Validation'!$A$32</f>
        <v>No</v>
      </c>
      <c r="B9" s="24" t="str">
        <f>'SA Validation'!$A$20</f>
        <v>House in Multiple Occupation</v>
      </c>
      <c r="C9" s="50">
        <v>0.6</v>
      </c>
      <c r="D9" s="14" t="str">
        <f t="shared" si="0"/>
        <v>No, House in Multiple Occupation, 0.6</v>
      </c>
      <c r="E9" s="34">
        <v>0</v>
      </c>
    </row>
    <row r="10" spans="1:5" x14ac:dyDescent="0.35">
      <c r="A10" s="24" t="str">
        <f>'SA Validation'!$A$32</f>
        <v>No</v>
      </c>
      <c r="B10" s="24" t="str">
        <f>'SA Validation'!$A$20</f>
        <v>House in Multiple Occupation</v>
      </c>
      <c r="C10" s="50">
        <v>0.65</v>
      </c>
      <c r="D10" s="14" t="str">
        <f t="shared" si="0"/>
        <v>No, House in Multiple Occupation, 0.65</v>
      </c>
      <c r="E10" s="34">
        <v>0</v>
      </c>
    </row>
    <row r="11" spans="1:5" x14ac:dyDescent="0.35">
      <c r="A11" s="24" t="str">
        <f>'SA Validation'!$A$32</f>
        <v>No</v>
      </c>
      <c r="B11" s="24" t="str">
        <f>'SA Validation'!$A$20</f>
        <v>House in Multiple Occupation</v>
      </c>
      <c r="C11" s="50">
        <v>0.7</v>
      </c>
      <c r="D11" s="14" t="str">
        <f t="shared" si="0"/>
        <v>No, House in Multiple Occupation, 0.7</v>
      </c>
      <c r="E11" s="34">
        <v>0</v>
      </c>
    </row>
    <row r="12" spans="1:5" x14ac:dyDescent="0.35">
      <c r="A12" s="24" t="str">
        <f>'SA Validation'!$A$32</f>
        <v>No</v>
      </c>
      <c r="B12" s="24" t="str">
        <f>'SA Validation'!$A$20</f>
        <v>House in Multiple Occupation</v>
      </c>
      <c r="C12" s="50">
        <v>0.75</v>
      </c>
      <c r="D12" s="14" t="str">
        <f t="shared" si="0"/>
        <v>No, House in Multiple Occupation, 0.75</v>
      </c>
      <c r="E12" s="34">
        <v>0</v>
      </c>
    </row>
    <row r="13" spans="1:5" ht="15" thickBot="1" x14ac:dyDescent="0.4">
      <c r="A13" s="25" t="str">
        <f>'SA Validation'!$A$32</f>
        <v>No</v>
      </c>
      <c r="B13" s="25" t="str">
        <f>'SA Validation'!$A$20</f>
        <v>House in Multiple Occupation</v>
      </c>
      <c r="C13" s="51">
        <v>0.8</v>
      </c>
      <c r="D13" s="15" t="str">
        <f t="shared" si="0"/>
        <v>No, House in Multiple Occupation, 0.8</v>
      </c>
      <c r="E13" s="35">
        <v>0</v>
      </c>
    </row>
    <row r="14" spans="1:5" x14ac:dyDescent="0.35">
      <c r="A14" s="18" t="str">
        <f>'SA Validation'!$A$31</f>
        <v>Yes</v>
      </c>
      <c r="B14" s="23" t="str">
        <f>'SA Validation'!$A$19</f>
        <v>Standard BTL</v>
      </c>
      <c r="C14" s="49">
        <v>0.5</v>
      </c>
      <c r="D14" s="13" t="str">
        <f t="shared" si="0"/>
        <v>Yes, Standard BTL, 0.5</v>
      </c>
      <c r="E14" s="33">
        <v>2000000</v>
      </c>
    </row>
    <row r="15" spans="1:5" x14ac:dyDescent="0.35">
      <c r="A15" s="19" t="str">
        <f>'SA Validation'!$A$31</f>
        <v>Yes</v>
      </c>
      <c r="B15" s="24" t="str">
        <f>'SA Validation'!$A$19</f>
        <v>Standard BTL</v>
      </c>
      <c r="C15" s="50">
        <v>0.6</v>
      </c>
      <c r="D15" s="14" t="str">
        <f t="shared" si="0"/>
        <v>Yes, Standard BTL, 0.6</v>
      </c>
      <c r="E15" s="34">
        <v>1500000</v>
      </c>
    </row>
    <row r="16" spans="1:5" x14ac:dyDescent="0.35">
      <c r="A16" s="19" t="str">
        <f>'SA Validation'!$A$31</f>
        <v>Yes</v>
      </c>
      <c r="B16" s="24" t="str">
        <f>'SA Validation'!$A$19</f>
        <v>Standard BTL</v>
      </c>
      <c r="C16" s="50">
        <v>0.65</v>
      </c>
      <c r="D16" s="14" t="str">
        <f t="shared" si="0"/>
        <v>Yes, Standard BTL, 0.65</v>
      </c>
      <c r="E16" s="34">
        <v>1500000</v>
      </c>
    </row>
    <row r="17" spans="1:5" x14ac:dyDescent="0.35">
      <c r="A17" s="19" t="str">
        <f>'SA Validation'!$A$31</f>
        <v>Yes</v>
      </c>
      <c r="B17" s="24" t="str">
        <f>'SA Validation'!$A$19</f>
        <v>Standard BTL</v>
      </c>
      <c r="C17" s="50">
        <v>0.7</v>
      </c>
      <c r="D17" s="14" t="str">
        <f t="shared" si="0"/>
        <v>Yes, Standard BTL, 0.7</v>
      </c>
      <c r="E17" s="34">
        <v>1500000</v>
      </c>
    </row>
    <row r="18" spans="1:5" x14ac:dyDescent="0.35">
      <c r="A18" s="19" t="str">
        <f>'SA Validation'!$A$31</f>
        <v>Yes</v>
      </c>
      <c r="B18" s="24" t="str">
        <f>'SA Validation'!$A$19</f>
        <v>Standard BTL</v>
      </c>
      <c r="C18" s="50">
        <v>0.75</v>
      </c>
      <c r="D18" s="14" t="str">
        <f t="shared" si="0"/>
        <v>Yes, Standard BTL, 0.75</v>
      </c>
      <c r="E18" s="34">
        <v>1000000</v>
      </c>
    </row>
    <row r="19" spans="1:5" ht="15" thickBot="1" x14ac:dyDescent="0.4">
      <c r="A19" s="19" t="str">
        <f>'SA Validation'!$A$31</f>
        <v>Yes</v>
      </c>
      <c r="B19" s="25" t="str">
        <f>'SA Validation'!$A$19</f>
        <v>Standard BTL</v>
      </c>
      <c r="C19" s="51">
        <v>0.8</v>
      </c>
      <c r="D19" s="15" t="str">
        <f t="shared" si="0"/>
        <v>Yes, Standard BTL, 0.8</v>
      </c>
      <c r="E19" s="35">
        <v>500000</v>
      </c>
    </row>
    <row r="20" spans="1:5" x14ac:dyDescent="0.35">
      <c r="A20" s="19" t="str">
        <f>'SA Validation'!$A$31</f>
        <v>Yes</v>
      </c>
      <c r="B20" s="23" t="str">
        <f>'SA Validation'!$A$20</f>
        <v>House in Multiple Occupation</v>
      </c>
      <c r="C20" s="49">
        <v>0.5</v>
      </c>
      <c r="D20" s="13" t="str">
        <f t="shared" si="0"/>
        <v>Yes, House in Multiple Occupation, 0.5</v>
      </c>
      <c r="E20" s="33">
        <v>750000</v>
      </c>
    </row>
    <row r="21" spans="1:5" x14ac:dyDescent="0.35">
      <c r="A21" s="19" t="str">
        <f>'SA Validation'!$A$31</f>
        <v>Yes</v>
      </c>
      <c r="B21" s="24" t="str">
        <f>'SA Validation'!$A$20</f>
        <v>House in Multiple Occupation</v>
      </c>
      <c r="C21" s="50">
        <v>0.6</v>
      </c>
      <c r="D21" s="14" t="str">
        <f t="shared" si="0"/>
        <v>Yes, House in Multiple Occupation, 0.6</v>
      </c>
      <c r="E21" s="34">
        <v>750000</v>
      </c>
    </row>
    <row r="22" spans="1:5" x14ac:dyDescent="0.35">
      <c r="A22" s="19" t="str">
        <f>'SA Validation'!$A$31</f>
        <v>Yes</v>
      </c>
      <c r="B22" s="24" t="str">
        <f>'SA Validation'!$A$20</f>
        <v>House in Multiple Occupation</v>
      </c>
      <c r="C22" s="50">
        <v>0.65</v>
      </c>
      <c r="D22" s="14" t="str">
        <f t="shared" si="0"/>
        <v>Yes, House in Multiple Occupation, 0.65</v>
      </c>
      <c r="E22" s="34">
        <v>750000</v>
      </c>
    </row>
    <row r="23" spans="1:5" x14ac:dyDescent="0.35">
      <c r="A23" s="19" t="str">
        <f>'SA Validation'!$A$31</f>
        <v>Yes</v>
      </c>
      <c r="B23" s="24" t="str">
        <f>'SA Validation'!$A$20</f>
        <v>House in Multiple Occupation</v>
      </c>
      <c r="C23" s="50">
        <v>0.7</v>
      </c>
      <c r="D23" s="14" t="str">
        <f t="shared" si="0"/>
        <v>Yes, House in Multiple Occupation, 0.7</v>
      </c>
      <c r="E23" s="34">
        <v>500000</v>
      </c>
    </row>
    <row r="24" spans="1:5" x14ac:dyDescent="0.35">
      <c r="A24" s="19" t="str">
        <f>'SA Validation'!$A$31</f>
        <v>Yes</v>
      </c>
      <c r="B24" s="24" t="str">
        <f>'SA Validation'!$A$20</f>
        <v>House in Multiple Occupation</v>
      </c>
      <c r="C24" s="50">
        <v>0.75</v>
      </c>
      <c r="D24" s="14" t="str">
        <f t="shared" si="0"/>
        <v>Yes, House in Multiple Occupation, 0.75</v>
      </c>
      <c r="E24" s="34">
        <v>500000</v>
      </c>
    </row>
    <row r="25" spans="1:5" ht="15" thickBot="1" x14ac:dyDescent="0.4">
      <c r="A25" s="20" t="str">
        <f>'SA Validation'!$A$31</f>
        <v>Yes</v>
      </c>
      <c r="B25" s="25" t="str">
        <f>'SA Validation'!$A$20</f>
        <v>House in Multiple Occupation</v>
      </c>
      <c r="C25" s="51">
        <v>0.8</v>
      </c>
      <c r="D25" s="15" t="str">
        <f t="shared" si="0"/>
        <v>Yes, House in Multiple Occupation, 0.8</v>
      </c>
      <c r="E25" s="35">
        <v>0</v>
      </c>
    </row>
  </sheetData>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BB0-02B7-4AAE-BEB4-7D1B462F727B}">
  <sheetPr>
    <tabColor theme="7"/>
  </sheetPr>
  <dimension ref="A1:B6"/>
  <sheetViews>
    <sheetView zoomScaleNormal="100" workbookViewId="0">
      <selection activeCell="F32" sqref="F32"/>
    </sheetView>
  </sheetViews>
  <sheetFormatPr defaultRowHeight="14.5" x14ac:dyDescent="0.35"/>
  <cols>
    <col min="1" max="1" width="22.1796875" bestFit="1" customWidth="1"/>
    <col min="2" max="2" width="12.26953125" bestFit="1" customWidth="1"/>
  </cols>
  <sheetData>
    <row r="1" spans="1:2" ht="29.5" thickBot="1" x14ac:dyDescent="0.4">
      <c r="A1" s="5" t="s">
        <v>86</v>
      </c>
      <c r="B1" s="37" t="s">
        <v>28</v>
      </c>
    </row>
    <row r="2" spans="1:2" ht="15" thickBot="1" x14ac:dyDescent="0.4">
      <c r="A2" s="6" t="s">
        <v>17</v>
      </c>
      <c r="B2" s="38">
        <v>0.8</v>
      </c>
    </row>
    <row r="3" spans="1:2" ht="15" thickBot="1" x14ac:dyDescent="0.4">
      <c r="A3" s="6" t="s">
        <v>67</v>
      </c>
      <c r="B3" s="38">
        <v>0.75</v>
      </c>
    </row>
    <row r="4" spans="1:2" ht="15" thickBot="1" x14ac:dyDescent="0.4">
      <c r="A4" s="6" t="s">
        <v>105</v>
      </c>
      <c r="B4" s="38">
        <v>0.7</v>
      </c>
    </row>
    <row r="5" spans="1:2" ht="15" thickBot="1" x14ac:dyDescent="0.4">
      <c r="A5" s="6" t="s">
        <v>106</v>
      </c>
      <c r="B5" s="38">
        <v>0.65</v>
      </c>
    </row>
    <row r="6" spans="1:2" ht="15" thickBot="1" x14ac:dyDescent="0.4">
      <c r="A6" s="6" t="s">
        <v>107</v>
      </c>
      <c r="B6" s="38">
        <v>0.6</v>
      </c>
    </row>
  </sheetData>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AC92-EA22-4409-8FB6-8B5233D3D072}">
  <sheetPr>
    <tabColor theme="1"/>
  </sheetPr>
  <dimension ref="B1:Z74"/>
  <sheetViews>
    <sheetView showGridLines="0" topLeftCell="A41" zoomScale="70" zoomScaleNormal="70" zoomScaleSheetLayoutView="115" workbookViewId="0">
      <selection activeCell="C82" sqref="C82"/>
    </sheetView>
  </sheetViews>
  <sheetFormatPr defaultColWidth="8.7265625" defaultRowHeight="14" outlineLevelRow="1" x14ac:dyDescent="0.3"/>
  <cols>
    <col min="1" max="1" width="3.26953125" style="56" customWidth="1"/>
    <col min="2" max="2" width="7" style="56" customWidth="1"/>
    <col min="3" max="3" width="82.54296875" style="56" customWidth="1"/>
    <col min="4" max="4" width="35.1796875" style="56" customWidth="1"/>
    <col min="5" max="5" width="8.54296875" style="56" customWidth="1"/>
    <col min="6" max="6" width="34.1796875" style="74" hidden="1" customWidth="1"/>
    <col min="7" max="7" width="12.1796875" style="74" hidden="1" customWidth="1"/>
    <col min="8" max="12" width="12" style="74" hidden="1" customWidth="1"/>
    <col min="13" max="14" width="18.54296875" style="56" hidden="1" customWidth="1"/>
    <col min="15" max="20" width="0" style="56" hidden="1" customWidth="1"/>
    <col min="21" max="16384" width="8.7265625" style="56"/>
  </cols>
  <sheetData>
    <row r="1" spans="2:26" ht="63.65" customHeight="1" thickBot="1" x14ac:dyDescent="0.35"/>
    <row r="2" spans="2:26" x14ac:dyDescent="0.3">
      <c r="B2" s="126"/>
      <c r="C2" s="127"/>
      <c r="D2" s="127"/>
      <c r="E2" s="128"/>
      <c r="F2" s="134"/>
      <c r="G2" s="135"/>
      <c r="H2" s="135"/>
      <c r="I2" s="135"/>
      <c r="J2" s="135"/>
      <c r="K2" s="135"/>
      <c r="L2" s="136"/>
      <c r="N2" s="252" t="s">
        <v>112</v>
      </c>
      <c r="O2" s="253"/>
      <c r="P2" s="253"/>
      <c r="Q2" s="253"/>
      <c r="R2" s="253"/>
      <c r="S2" s="253"/>
      <c r="T2" s="254"/>
    </row>
    <row r="3" spans="2:26" ht="28" thickBot="1" x14ac:dyDescent="0.6">
      <c r="B3" s="129"/>
      <c r="C3" s="130" t="s">
        <v>0</v>
      </c>
      <c r="D3" s="131"/>
      <c r="E3" s="132"/>
      <c r="F3" s="137"/>
      <c r="G3" s="138"/>
      <c r="H3" s="138"/>
      <c r="I3" s="138"/>
      <c r="J3" s="138"/>
      <c r="K3" s="138"/>
      <c r="L3" s="139"/>
      <c r="N3" s="255"/>
      <c r="O3" s="256"/>
      <c r="P3" s="256"/>
      <c r="Q3" s="256"/>
      <c r="R3" s="256"/>
      <c r="S3" s="256"/>
      <c r="T3" s="257"/>
      <c r="Z3" s="57"/>
    </row>
    <row r="4" spans="2:26" ht="69" customHeight="1" thickBot="1" x14ac:dyDescent="0.35">
      <c r="B4" s="133"/>
      <c r="C4" s="251" t="s">
        <v>35</v>
      </c>
      <c r="D4" s="230"/>
      <c r="E4" s="231"/>
      <c r="F4" s="134"/>
      <c r="G4" s="135"/>
      <c r="H4" s="135"/>
      <c r="I4" s="135"/>
      <c r="J4" s="135"/>
      <c r="K4" s="135"/>
      <c r="L4" s="136"/>
      <c r="N4" s="258"/>
      <c r="O4" s="259"/>
      <c r="P4" s="259"/>
      <c r="Q4" s="259"/>
      <c r="R4" s="259"/>
      <c r="S4" s="259"/>
      <c r="T4" s="260"/>
    </row>
    <row r="5" spans="2:26" ht="19.5" customHeight="1" x14ac:dyDescent="0.5">
      <c r="B5" s="58"/>
      <c r="C5" s="59"/>
      <c r="D5" s="60"/>
      <c r="E5" s="61"/>
      <c r="F5" s="75" t="s">
        <v>102</v>
      </c>
      <c r="G5" s="76"/>
      <c r="H5" s="76"/>
      <c r="I5" s="76"/>
      <c r="J5" s="76"/>
      <c r="K5" s="76"/>
      <c r="L5" s="77"/>
      <c r="Z5" s="62"/>
    </row>
    <row r="6" spans="2:26" ht="18" customHeight="1" x14ac:dyDescent="0.3">
      <c r="B6" s="58"/>
      <c r="C6" s="67" t="s">
        <v>2</v>
      </c>
      <c r="D6" s="68"/>
      <c r="E6" s="61"/>
      <c r="F6" s="78" t="s">
        <v>3</v>
      </c>
      <c r="G6" s="79">
        <v>0.5</v>
      </c>
      <c r="H6" s="79">
        <v>0.6</v>
      </c>
      <c r="I6" s="79">
        <v>0.65</v>
      </c>
      <c r="J6" s="79">
        <v>0.7</v>
      </c>
      <c r="K6" s="79">
        <v>0.75</v>
      </c>
      <c r="L6" s="80">
        <v>0.8</v>
      </c>
    </row>
    <row r="7" spans="2:26" ht="18" customHeight="1" x14ac:dyDescent="0.3">
      <c r="B7" s="58"/>
      <c r="C7" s="67" t="s">
        <v>4</v>
      </c>
      <c r="D7" s="69"/>
      <c r="E7" s="61"/>
      <c r="F7" s="81" t="s">
        <v>5</v>
      </c>
      <c r="G7" s="82" t="s">
        <v>6</v>
      </c>
      <c r="H7" s="82" t="s">
        <v>6</v>
      </c>
      <c r="I7" s="82" t="s">
        <v>6</v>
      </c>
      <c r="J7" s="82" t="s">
        <v>7</v>
      </c>
      <c r="K7" s="82" t="s">
        <v>7</v>
      </c>
      <c r="L7" s="154" t="s">
        <v>7</v>
      </c>
      <c r="Z7" s="62"/>
    </row>
    <row r="8" spans="2:26" ht="18" customHeight="1" x14ac:dyDescent="0.35">
      <c r="B8" s="58"/>
      <c r="C8" s="67"/>
      <c r="D8"/>
      <c r="E8" s="61"/>
      <c r="F8" s="83" t="s">
        <v>9</v>
      </c>
      <c r="G8" s="84" t="e">
        <f>VLOOKUP(CONCATENATE($D$13,", ",$D$14,", ",$D$12,", ",$D$10),ICR!$E:$F,2,FALSE)</f>
        <v>#N/A</v>
      </c>
      <c r="H8" s="84" t="e">
        <f>VLOOKUP(CONCATENATE($D$13,", ",$D$14,", ",$D$12,", ",$D$10),ICR!$E:$F,2,FALSE)</f>
        <v>#N/A</v>
      </c>
      <c r="I8" s="84" t="e">
        <f>VLOOKUP(CONCATENATE($D$13,", ",$D$14,", ",$D$12,", ",$D$10),ICR!$E:$F,2,FALSE)</f>
        <v>#N/A</v>
      </c>
      <c r="J8" s="84" t="e">
        <f>VLOOKUP(CONCATENATE($D$13,", ",$D$14,", ",$D$12,", ",$D$10),ICR!$E:$F,2,FALSE)</f>
        <v>#N/A</v>
      </c>
      <c r="K8" s="84" t="e">
        <f>VLOOKUP(CONCATENATE($D$13,", ",$D$14,", ",$D$12,", ",$D$10),ICR!$E:$F,2,FALSE)</f>
        <v>#N/A</v>
      </c>
      <c r="L8" s="85" t="e">
        <f>VLOOKUP(CONCATENATE($D$13,", ",$D$14,", ",$D$12,", ",$D$10),ICR!$E:$F,2,FALSE)</f>
        <v>#N/A</v>
      </c>
      <c r="Z8" s="62"/>
    </row>
    <row r="9" spans="2:26" ht="18" customHeight="1" x14ac:dyDescent="0.3">
      <c r="B9" s="58"/>
      <c r="C9" s="67" t="s">
        <v>16</v>
      </c>
      <c r="D9" s="72"/>
      <c r="E9" s="61"/>
      <c r="F9" s="86" t="s">
        <v>36</v>
      </c>
      <c r="G9" s="87" t="e">
        <f>MAX(VLOOKUP(CONCATENATE($D$13,", ",G8,", ",$D$19,", ",G7),'MA Stress Rate (ML1)'!$E:$F,2,FALSE),G15)</f>
        <v>#N/A</v>
      </c>
      <c r="H9" s="87" t="e">
        <f>MAX(VLOOKUP(CONCATENATE($D$13,", ",H8,", ",$D$19,", ",H7),'MA Stress Rate (ML1)'!$E:$F,2,FALSE),H15)</f>
        <v>#N/A</v>
      </c>
      <c r="I9" s="87" t="e">
        <f>MAX(VLOOKUP(CONCATENATE($D$13,", ",I8,", ",$D$19,", ",I7),'MA Stress Rate (ML1)'!$E:$F,2,FALSE),I15)</f>
        <v>#N/A</v>
      </c>
      <c r="J9" s="87" t="e">
        <f>MAX(VLOOKUP(CONCATENATE($D$13,", ",J8,", ",$D$19,", ",J7),'MA Stress Rate (ML1)'!$E:$F,2,FALSE),J15)</f>
        <v>#N/A</v>
      </c>
      <c r="K9" s="87" t="e">
        <f>MAX(VLOOKUP(CONCATENATE($D$13,", ",K8,", ",$D$19,", ",K7),'MA Stress Rate (ML1)'!$E:$F,2,FALSE),K15)</f>
        <v>#N/A</v>
      </c>
      <c r="L9" s="88" t="e">
        <f>MAX(VLOOKUP(CONCATENATE($D$13,", ",L8,", ",$D$19,", ",L7),'MA Stress Rate (ML1)'!$E:$F,2,FALSE),L15)</f>
        <v>#N/A</v>
      </c>
      <c r="Z9" s="62"/>
    </row>
    <row r="10" spans="2:26" ht="18" customHeight="1" x14ac:dyDescent="0.3">
      <c r="B10" s="58"/>
      <c r="C10" s="67" t="s">
        <v>18</v>
      </c>
      <c r="D10" s="72"/>
      <c r="E10" s="61"/>
      <c r="F10" s="86" t="s">
        <v>37</v>
      </c>
      <c r="G10" s="89" t="e">
        <f>MAX(IFERROR(VLOOKUP(CONCATENATE($D$13,", ",G8,", ",$D$24,", ",G7),'MA Stress Rate (ML2)'!$E:$F,2,FALSE),0),G15)</f>
        <v>#N/A</v>
      </c>
      <c r="H10" s="89" t="e">
        <f>MAX(IFERROR(VLOOKUP(CONCATENATE($D$13,", ",H8,", ",$D$24,", ",H7),'MA Stress Rate (ML2)'!$E:$F,2,FALSE),0),H15)</f>
        <v>#N/A</v>
      </c>
      <c r="I10" s="89" t="e">
        <f>MAX(IFERROR(VLOOKUP(CONCATENATE($D$13,", ",I8,", ",$D$24,", ",I7),'MA Stress Rate (ML2)'!$E:$F,2,FALSE),0),I15)</f>
        <v>#N/A</v>
      </c>
      <c r="J10" s="89" t="e">
        <f>MAX(IFERROR(VLOOKUP(CONCATENATE($D$13,", ",J8,", ",$D$24,", ",J7),'MA Stress Rate (ML2)'!$E:$F,2,FALSE),0),J15)</f>
        <v>#N/A</v>
      </c>
      <c r="K10" s="89" t="e">
        <f>MAX(IFERROR(VLOOKUP(CONCATENATE($D$13,", ",K8,", ",$D$24,", ",K7),'MA Stress Rate (ML2)'!$E:$F,2,FALSE),0),K15)</f>
        <v>#N/A</v>
      </c>
      <c r="L10" s="90" t="e">
        <f>MAX(IFERROR(VLOOKUP(CONCATENATE($D$13,", ",L8,", ",$D$24,", ",L7),'MA Stress Rate (ML2)'!$E:$F,2,FALSE),0),L15)</f>
        <v>#N/A</v>
      </c>
      <c r="Z10" s="62"/>
    </row>
    <row r="11" spans="2:26" ht="18" customHeight="1" x14ac:dyDescent="0.3">
      <c r="B11" s="58"/>
      <c r="C11" s="67" t="s">
        <v>20</v>
      </c>
      <c r="D11" s="72"/>
      <c r="E11" s="61"/>
      <c r="F11" s="86" t="s">
        <v>38</v>
      </c>
      <c r="G11" s="91" t="e">
        <f>MAX(IFERROR(VLOOKUP(CONCATENATE($D$13,", ",G8,", ",$D$29,", ",G7),'MA Stress Rate (ML3)'!$E:$F,2,FALSE),0),G15)</f>
        <v>#N/A</v>
      </c>
      <c r="H11" s="91" t="e">
        <f>MAX(IFERROR(VLOOKUP(CONCATENATE($D$13,", ",H8,", ",$D$29,", ",H7),'MA Stress Rate (ML3)'!$E:$F,2,FALSE),0),H15)</f>
        <v>#N/A</v>
      </c>
      <c r="I11" s="91" t="e">
        <f>MAX(IFERROR(VLOOKUP(CONCATENATE($D$13,", ",I8,", ",$D$29,", ",I7),'MA Stress Rate (ML3)'!$E:$F,2,FALSE),0),I15)</f>
        <v>#N/A</v>
      </c>
      <c r="J11" s="91" t="e">
        <f>MAX(IFERROR(VLOOKUP(CONCATENATE($D$13,", ",J8,", ",$D$29,", ",J7),'MA Stress Rate (ML3)'!$E:$F,2,FALSE),0),J15)</f>
        <v>#N/A</v>
      </c>
      <c r="K11" s="91" t="e">
        <f>MAX(IFERROR(VLOOKUP(CONCATENATE($D$13,", ",K8,", ",$D$29,", ",K7),'MA Stress Rate (ML3)'!$E:$F,2,FALSE),0),K15)</f>
        <v>#N/A</v>
      </c>
      <c r="L11" s="92" t="e">
        <f>MAX(IFERROR(VLOOKUP(CONCATENATE($D$13,", ",L8,", ",$D$29,", ",L7),'MA Stress Rate (ML3)'!$E:$F,2,FALSE),0),L15)</f>
        <v>#N/A</v>
      </c>
      <c r="Z11" s="62"/>
    </row>
    <row r="12" spans="2:26" ht="18" customHeight="1" x14ac:dyDescent="0.3">
      <c r="B12" s="58"/>
      <c r="C12" s="67" t="s">
        <v>23</v>
      </c>
      <c r="D12" s="72"/>
      <c r="E12" s="61"/>
      <c r="F12" s="86" t="s">
        <v>39</v>
      </c>
      <c r="G12" s="91" t="e">
        <f>MAX(IFERROR(VLOOKUP(CONCATENATE($D$13,", ",G8,", ",$D$34,", ",G7),'MA Stress Rate (ML4)'!$E:$F,2,FALSE),0),G15)</f>
        <v>#N/A</v>
      </c>
      <c r="H12" s="91" t="e">
        <f>MAX(IFERROR(VLOOKUP(CONCATENATE($D$13,", ",H8,", ",$D$34,", ",H7),'MA Stress Rate (ML4)'!$E:$F,2,FALSE),0),H15)</f>
        <v>#N/A</v>
      </c>
      <c r="I12" s="91" t="e">
        <f>MAX(IFERROR(VLOOKUP(CONCATENATE($D$13,", ",I8,", ",$D$34,", ",I7),'MA Stress Rate (ML4)'!$E:$F,2,FALSE),0),I15)</f>
        <v>#N/A</v>
      </c>
      <c r="J12" s="91" t="e">
        <f>MAX(IFERROR(VLOOKUP(CONCATENATE($D$13,", ",J8,", ",$D$34,", ",J7),'MA Stress Rate (ML4)'!$E:$F,2,FALSE),0),J15)</f>
        <v>#N/A</v>
      </c>
      <c r="K12" s="91" t="e">
        <f>MAX(IFERROR(VLOOKUP(CONCATENATE($D$13,", ",K8,", ",$D$34,", ",K7),'MA Stress Rate (ML4)'!$E:$F,2,FALSE),0),K15)</f>
        <v>#N/A</v>
      </c>
      <c r="L12" s="217" t="e">
        <f>MAX(IFERROR(VLOOKUP(CONCATENATE($D$13,", ",L8,", ",$D$34,", ",L7),'MA Stress Rate (ML4)'!$E:$F,2,FALSE),0),L15)</f>
        <v>#N/A</v>
      </c>
      <c r="Z12" s="62"/>
    </row>
    <row r="13" spans="2:26" ht="18" customHeight="1" x14ac:dyDescent="0.3">
      <c r="B13" s="58"/>
      <c r="C13" s="67" t="s">
        <v>26</v>
      </c>
      <c r="D13" s="72"/>
      <c r="E13" s="61"/>
      <c r="F13" s="86" t="s">
        <v>108</v>
      </c>
      <c r="G13" s="91" t="e">
        <f>MAX(IFERROR(VLOOKUP(CONCATENATE($D$13,", ",G8,", ",$D$39,", ",G7),'MA Stress Rate (ML5)'!$E:$F,2,FALSE),0),G15)</f>
        <v>#N/A</v>
      </c>
      <c r="H13" s="91" t="e">
        <f>MAX(IFERROR(VLOOKUP(CONCATENATE($D$13,", ",H8,", ",$D$39,", ",H7),'MA Stress Rate (ML5)'!$E:$F,2,FALSE),0),H15)</f>
        <v>#N/A</v>
      </c>
      <c r="I13" s="91" t="e">
        <f>MAX(IFERROR(VLOOKUP(CONCATENATE($D$13,", ",I8,", ",$D$39,", ",I7),'MA Stress Rate (ML5)'!$E:$F,2,FALSE),0),I15)</f>
        <v>#N/A</v>
      </c>
      <c r="J13" s="91" t="e">
        <f>MAX(IFERROR(VLOOKUP(CONCATENATE($D$13,", ",J8,", ",$D$39,", ",J7),'MA Stress Rate (ML5)'!$E:$F,2,FALSE),0),J15)</f>
        <v>#N/A</v>
      </c>
      <c r="K13" s="91" t="e">
        <f>MAX(IFERROR(VLOOKUP(CONCATENATE($D$13,", ",K8,", ",$D$39,", ",K7),'MA Stress Rate (ML5)'!$E:$F,2,FALSE),0),K15)</f>
        <v>#N/A</v>
      </c>
      <c r="L13" s="217" t="e">
        <f>MAX(IFERROR(VLOOKUP(CONCATENATE($D$13,", ",L8,", ",$D$39,", ",L7),'MA Stress Rate (ML5)'!$E:$F,2,FALSE),0),L15)</f>
        <v>#N/A</v>
      </c>
      <c r="Z13" s="62"/>
    </row>
    <row r="14" spans="2:26" ht="18" customHeight="1" x14ac:dyDescent="0.3">
      <c r="B14" s="58"/>
      <c r="C14" s="67" t="s">
        <v>29</v>
      </c>
      <c r="D14" s="72"/>
      <c r="E14" s="61"/>
      <c r="F14" s="86" t="s">
        <v>109</v>
      </c>
      <c r="G14" s="91" t="e">
        <f>MAX(IFERROR(VLOOKUP(CONCATENATE($D$13,", ",G8,", ",$D$44,", ",G7),'MA Stress Rate (ML6)'!$E:$F,2,FALSE),0),G15)</f>
        <v>#N/A</v>
      </c>
      <c r="H14" s="91" t="e">
        <f>MAX(IFERROR(VLOOKUP(CONCATENATE($D$13,", ",H8,", ",$D$44,", ",H7),'MA Stress Rate (ML6)'!$E:$F,2,FALSE),0),H15)</f>
        <v>#N/A</v>
      </c>
      <c r="I14" s="91" t="e">
        <f>MAX(IFERROR(VLOOKUP(CONCATENATE($D$13,", ",I8,", ",$D$44,", ",I7),'MA Stress Rate (ML6)'!$E:$F,2,FALSE),0),I15)</f>
        <v>#N/A</v>
      </c>
      <c r="J14" s="91" t="e">
        <f>MAX(IFERROR(VLOOKUP(CONCATENATE($D$13,", ",J8,", ",$D$44,", ",J7),'MA Stress Rate (ML6)'!$E:$F,2,FALSE),0),J15)</f>
        <v>#N/A</v>
      </c>
      <c r="K14" s="91" t="e">
        <f>MAX(IFERROR(VLOOKUP(CONCATENATE($D$13,", ",K8,", ",$D$44,", ",K7),'MA Stress Rate (ML6)'!$E:$F,2,FALSE),0),K15)</f>
        <v>#N/A</v>
      </c>
      <c r="L14" s="217" t="e">
        <f>MAX(IFERROR(VLOOKUP(CONCATENATE($D$13,", ",L8,", ",$D$44,", ",L7),'MA Stress Rate (ML6)'!$E:$F,2,FALSE),0),L15)</f>
        <v>#N/A</v>
      </c>
      <c r="Z14" s="62"/>
    </row>
    <row r="15" spans="2:26" ht="18" customHeight="1" x14ac:dyDescent="0.35">
      <c r="B15" s="58"/>
      <c r="C15" s="67"/>
      <c r="D15" s="107"/>
      <c r="E15" s="61"/>
      <c r="F15" s="86" t="s">
        <v>14</v>
      </c>
      <c r="G15" s="87" t="e">
        <f>VLOOKUP(CONCATENATE($D$13,", ",G8,", ",$D$48,", ",G7),'MA Stress Rate (FA)'!$E:$F,2,FALSE)</f>
        <v>#N/A</v>
      </c>
      <c r="H15" s="87" t="e">
        <f>VLOOKUP(CONCATENATE($D$13,", ",H8,", ",$D$48,", ",H7),'MA Stress Rate (FA)'!$E:$F,2,FALSE)</f>
        <v>#N/A</v>
      </c>
      <c r="I15" s="87" t="e">
        <f>VLOOKUP(CONCATENATE($D$13,", ",I8,", ",$D$48,", ",I7),'MA Stress Rate (FA)'!$E:$F,2,FALSE)</f>
        <v>#N/A</v>
      </c>
      <c r="J15" s="87" t="e">
        <f>VLOOKUP(CONCATENATE($D$13,", ",J8,", ",$D$48,", ",J7),'MA Stress Rate (FA)'!$E:$F,2,FALSE)</f>
        <v>#N/A</v>
      </c>
      <c r="K15" s="87" t="e">
        <f>VLOOKUP(CONCATENATE($D$13,", ",K8,", ",$D$48,", ",K7),'MA Stress Rate (FA)'!$E:$F,2,FALSE)</f>
        <v>#N/A</v>
      </c>
      <c r="L15" s="226" t="e">
        <f>VLOOKUP(CONCATENATE($D$13,", ",L8,", ",$D$48,", ",L7),'MA Stress Rate (FA)'!$E:$F,2,FALSE)</f>
        <v>#N/A</v>
      </c>
      <c r="Z15" s="62"/>
    </row>
    <row r="16" spans="2:26" ht="18" customHeight="1" x14ac:dyDescent="0.35">
      <c r="B16" s="58"/>
      <c r="C16" s="73" t="s">
        <v>40</v>
      </c>
      <c r="D16"/>
      <c r="E16" s="61"/>
      <c r="F16" s="81" t="s">
        <v>15</v>
      </c>
      <c r="G16" s="93" t="e">
        <f>$D$7-($D$17*G$8*G$9/12)-($D$22*G$8*G$10/12)-($D$27*G$8*G$11/12)-($D$32*G$8*G$12/12)-($D$37*G$8*G$13/12)-($D$42*G$8*G$14/12)</f>
        <v>#N/A</v>
      </c>
      <c r="H16" s="93" t="e">
        <f t="shared" ref="H16:L16" si="0">$D$7-($D$17*H$8*H$9/12)-($D$22*H$8*H$10/12)-($D$27*H$8*H$11/12)-($D$32*H$8*H$12/12)-($D$37*H$8*H$13/12)-($D$42*H$8*H$14/12)</f>
        <v>#N/A</v>
      </c>
      <c r="I16" s="93" t="e">
        <f t="shared" si="0"/>
        <v>#N/A</v>
      </c>
      <c r="J16" s="93" t="e">
        <f t="shared" si="0"/>
        <v>#N/A</v>
      </c>
      <c r="K16" s="93" t="e">
        <f t="shared" si="0"/>
        <v>#N/A</v>
      </c>
      <c r="L16" s="219" t="e">
        <f t="shared" si="0"/>
        <v>#N/A</v>
      </c>
      <c r="Z16" s="62"/>
    </row>
    <row r="17" spans="2:26" ht="18" customHeight="1" x14ac:dyDescent="0.3">
      <c r="B17" s="58"/>
      <c r="C17" s="67" t="s">
        <v>8</v>
      </c>
      <c r="D17" s="69"/>
      <c r="E17" s="61"/>
      <c r="F17" s="81"/>
      <c r="G17" s="93"/>
      <c r="H17" s="93"/>
      <c r="I17" s="93"/>
      <c r="J17" s="93"/>
      <c r="K17" s="93"/>
      <c r="L17" s="219"/>
      <c r="Z17" s="62"/>
    </row>
    <row r="18" spans="2:26" ht="18" customHeight="1" x14ac:dyDescent="0.3">
      <c r="B18" s="58"/>
      <c r="C18" s="67" t="s">
        <v>10</v>
      </c>
      <c r="D18" s="70"/>
      <c r="E18" s="61"/>
      <c r="F18" s="74" t="s">
        <v>96</v>
      </c>
      <c r="G18" s="214">
        <f>($D$6*G6)-$D$17-$D$22-$D$27-$D$32-$D$37-$D$42</f>
        <v>0</v>
      </c>
      <c r="H18" s="214">
        <f t="shared" ref="H18:L18" si="1">($D$6*H6)-$D$17-$D$22-$D$27-$D$32-$D$37-$D$42</f>
        <v>0</v>
      </c>
      <c r="I18" s="214">
        <f t="shared" si="1"/>
        <v>0</v>
      </c>
      <c r="J18" s="214">
        <f t="shared" si="1"/>
        <v>0</v>
      </c>
      <c r="K18" s="214">
        <f t="shared" si="1"/>
        <v>0</v>
      </c>
      <c r="L18" s="220">
        <f t="shared" si="1"/>
        <v>0</v>
      </c>
      <c r="Z18" s="62"/>
    </row>
    <row r="19" spans="2:26" ht="18" customHeight="1" x14ac:dyDescent="0.3">
      <c r="B19" s="58"/>
      <c r="C19" s="67" t="s">
        <v>12</v>
      </c>
      <c r="D19" s="69"/>
      <c r="E19" s="61"/>
      <c r="F19" s="78" t="s">
        <v>97</v>
      </c>
      <c r="G19" s="95">
        <f>($D$6*G6)-$D$17-$D$22-$D$27-$D$32-$D$37-$D$42+IF($D$49&lt;1,$D$49*(($D$6*G6)-$D$17-$D$22-$D$27-$D$32-$D$37-$D$42),$D$49)</f>
        <v>0</v>
      </c>
      <c r="H19" s="95">
        <f t="shared" ref="H19:K19" si="2">($D$6*H6)-$D$17-$D$22-$D$27-$D$32-$D$37-$D$42+IF($D$49&lt;1,$D$49*(($D$6*H6)-$D$17-$D$22-$D$27-$D$32-$D$37-$D$42),$D$49)</f>
        <v>0</v>
      </c>
      <c r="I19" s="95">
        <f t="shared" si="2"/>
        <v>0</v>
      </c>
      <c r="J19" s="95">
        <f t="shared" si="2"/>
        <v>0</v>
      </c>
      <c r="K19" s="95">
        <f t="shared" si="2"/>
        <v>0</v>
      </c>
      <c r="L19" s="221">
        <f>($D$6*L6)-$D$17-$D$22-$D$27-$D$32-$D$37-$D$42+IF($D$49&lt;1,$D$49*(($D$6*L6)-$D$17-$D$22-$D$27-$D$32-$D$37-$D$42),$D$49)</f>
        <v>0</v>
      </c>
      <c r="Z19" s="62"/>
    </row>
    <row r="20" spans="2:26" ht="18" customHeight="1" x14ac:dyDescent="0.35">
      <c r="B20" s="58"/>
      <c r="C20" s="67"/>
      <c r="D20"/>
      <c r="E20" s="61"/>
      <c r="F20" s="78" t="s">
        <v>22</v>
      </c>
      <c r="G20" s="96" t="e">
        <f t="shared" ref="G20:L20" si="3">(G16*12)/G15/G8</f>
        <v>#N/A</v>
      </c>
      <c r="H20" s="96" t="e">
        <f t="shared" si="3"/>
        <v>#N/A</v>
      </c>
      <c r="I20" s="96" t="e">
        <f t="shared" si="3"/>
        <v>#N/A</v>
      </c>
      <c r="J20" s="96" t="e">
        <f t="shared" si="3"/>
        <v>#N/A</v>
      </c>
      <c r="K20" s="96" t="e">
        <f t="shared" si="3"/>
        <v>#N/A</v>
      </c>
      <c r="L20" s="222" t="e">
        <f t="shared" si="3"/>
        <v>#N/A</v>
      </c>
      <c r="Z20" s="62"/>
    </row>
    <row r="21" spans="2:26" ht="18" customHeight="1" x14ac:dyDescent="0.35">
      <c r="B21" s="58"/>
      <c r="C21" s="73" t="s">
        <v>41</v>
      </c>
      <c r="D21"/>
      <c r="E21" s="61"/>
      <c r="F21" s="97" t="s">
        <v>25</v>
      </c>
      <c r="G21" s="98" t="e">
        <f>VLOOKUP(CONCATENATE($D$11,", ",$D$14,", ",G$6),'Property Cap'!$D:$E,2,FALSE)-$D$17-$D$22-$D$27-$D$32-$D$37-$D$42</f>
        <v>#N/A</v>
      </c>
      <c r="H21" s="98" t="e">
        <f>VLOOKUP(CONCATENATE($D$11,", ",$D$14,", ",H$6),'Property Cap'!$D:$E,2,FALSE)-$D$17-$D$22-$D$27-$D$32-$D$37-$D$42</f>
        <v>#N/A</v>
      </c>
      <c r="I21" s="98" t="e">
        <f>VLOOKUP(CONCATENATE($D$11,", ",$D$14,", ",I$6),'Property Cap'!$D:$E,2,FALSE)-$D$17-$D$22-$D$27-$D$32-$D$37-$D$42</f>
        <v>#N/A</v>
      </c>
      <c r="J21" s="98" t="e">
        <f>VLOOKUP(CONCATENATE($D$11,", ",$D$14,", ",J$6),'Property Cap'!$D:$E,2,FALSE)-$D$17-$D$22-$D$27-$D$32-$D$37-$D$42</f>
        <v>#N/A</v>
      </c>
      <c r="K21" s="98" t="e">
        <f>VLOOKUP(CONCATENATE($D$11,", ",$D$14,", ",K$6),'Property Cap'!$D:$E,2,FALSE)-$D$17-$D$22-$D$27-$D$32-$D$37-$D$42</f>
        <v>#N/A</v>
      </c>
      <c r="L21" s="223" t="e">
        <f>VLOOKUP(CONCATENATE($D$11,", ",$D$14,", ",L$6),'Property Cap'!$D:$E,2,FALSE)-$D$17-$D$22-$D$27-$D$32-$D$37-$D$42</f>
        <v>#N/A</v>
      </c>
      <c r="Z21" s="62"/>
    </row>
    <row r="22" spans="2:26" ht="18" customHeight="1" x14ac:dyDescent="0.3">
      <c r="B22" s="58"/>
      <c r="C22" s="67" t="s">
        <v>8</v>
      </c>
      <c r="D22" s="69"/>
      <c r="E22" s="61"/>
      <c r="F22" s="99" t="s">
        <v>28</v>
      </c>
      <c r="G22" s="100" t="e">
        <f>IF(VLOOKUP($D$9,'Exposure Cap'!$A:$B,2,FALSE)&gt;=G$6,7500000,0)-$D$17-$D$22-$D$27-$D$32-$D$37-$D$42</f>
        <v>#N/A</v>
      </c>
      <c r="H22" s="100" t="e">
        <f>IF(VLOOKUP($D$9,'Exposure Cap'!$A:$B,2,FALSE)&gt;=H$6,7500000,0)-$D$17-$D$22-$D$27-$D$32-$D$37-$D$42</f>
        <v>#N/A</v>
      </c>
      <c r="I22" s="100" t="e">
        <f>IF(VLOOKUP($D$9,'Exposure Cap'!$A:$B,2,FALSE)&gt;=I$6,7500000,0)-$D$17-$D$22-$D$27-$D$32-$D$37-$D$42</f>
        <v>#N/A</v>
      </c>
      <c r="J22" s="100" t="e">
        <f>IF(VLOOKUP($D$9,'Exposure Cap'!$A:$B,2,FALSE)&gt;=J$6,7500000,0)-$D$17-$D$22-$D$27-$D$32-$D$37-$D$42</f>
        <v>#N/A</v>
      </c>
      <c r="K22" s="100" t="e">
        <f>IF(VLOOKUP($D$9,'Exposure Cap'!$A:$B,2,FALSE)&gt;=K$6,7500000,0)-$D$17-$D$22-$D$27-$D$32-$D$37-$D$42</f>
        <v>#N/A</v>
      </c>
      <c r="L22" s="224" t="e">
        <f>IF(VLOOKUP($D$9,'Exposure Cap'!$A:$B,2,FALSE)&gt;=L$6,7500000,0)-$D$17-$D$22-$D$27-$D$32-$D$37-$D$42</f>
        <v>#N/A</v>
      </c>
      <c r="Z22" s="62"/>
    </row>
    <row r="23" spans="2:26" ht="18" customHeight="1" x14ac:dyDescent="0.3">
      <c r="B23" s="58"/>
      <c r="C23" s="67" t="s">
        <v>10</v>
      </c>
      <c r="D23" s="70"/>
      <c r="E23" s="61"/>
      <c r="F23" s="78"/>
      <c r="G23" s="101"/>
      <c r="H23" s="101"/>
      <c r="I23" s="101"/>
      <c r="J23" s="101"/>
      <c r="K23" s="101"/>
      <c r="L23" s="225"/>
      <c r="Z23" s="62"/>
    </row>
    <row r="24" spans="2:26" ht="18" customHeight="1" x14ac:dyDescent="0.3">
      <c r="B24" s="58"/>
      <c r="C24" s="67" t="s">
        <v>12</v>
      </c>
      <c r="D24" s="69"/>
      <c r="E24" s="61"/>
      <c r="F24" s="78" t="s">
        <v>88</v>
      </c>
      <c r="G24" s="95" t="e">
        <f>MAX(MIN(G20,G19,G21,G22),0)</f>
        <v>#N/A</v>
      </c>
      <c r="H24" s="95" t="e">
        <f t="shared" ref="H24:L24" si="4">MAX(MIN(H20,H19,H21,H22),0)</f>
        <v>#N/A</v>
      </c>
      <c r="I24" s="95" t="e">
        <f t="shared" si="4"/>
        <v>#N/A</v>
      </c>
      <c r="J24" s="95" t="e">
        <f t="shared" si="4"/>
        <v>#N/A</v>
      </c>
      <c r="K24" s="95" t="e">
        <f t="shared" si="4"/>
        <v>#N/A</v>
      </c>
      <c r="L24" s="94" t="e">
        <f t="shared" si="4"/>
        <v>#N/A</v>
      </c>
      <c r="Z24" s="62"/>
    </row>
    <row r="25" spans="2:26" ht="18" customHeight="1" x14ac:dyDescent="0.35">
      <c r="B25" s="58"/>
      <c r="C25" s="67"/>
      <c r="D25"/>
      <c r="E25" s="61"/>
      <c r="F25" s="81"/>
      <c r="L25" s="102"/>
      <c r="Z25" s="62"/>
    </row>
    <row r="26" spans="2:26" ht="18" customHeight="1" x14ac:dyDescent="0.35">
      <c r="B26" s="58"/>
      <c r="C26" s="73" t="s">
        <v>42</v>
      </c>
      <c r="D26"/>
      <c r="E26" s="61"/>
      <c r="F26" s="78" t="s">
        <v>87</v>
      </c>
      <c r="G26" s="95" t="e">
        <f>MAX(MIN(G18,G22,G20,G21),0)</f>
        <v>#N/A</v>
      </c>
      <c r="H26" s="95" t="e">
        <f t="shared" ref="H26:L26" si="5">MAX(MIN(H18,H22,H20,H21),0)</f>
        <v>#N/A</v>
      </c>
      <c r="I26" s="95" t="e">
        <f t="shared" si="5"/>
        <v>#N/A</v>
      </c>
      <c r="J26" s="95" t="e">
        <f t="shared" si="5"/>
        <v>#N/A</v>
      </c>
      <c r="K26" s="95" t="e">
        <f t="shared" si="5"/>
        <v>#N/A</v>
      </c>
      <c r="L26" s="94" t="e">
        <f t="shared" si="5"/>
        <v>#N/A</v>
      </c>
      <c r="Z26" s="62"/>
    </row>
    <row r="27" spans="2:26" ht="18" customHeight="1" x14ac:dyDescent="0.3">
      <c r="B27" s="58"/>
      <c r="C27" s="67" t="s">
        <v>8</v>
      </c>
      <c r="D27" s="69"/>
      <c r="E27" s="61"/>
      <c r="F27" s="86"/>
      <c r="G27" s="87"/>
      <c r="H27" s="87"/>
      <c r="I27" s="87"/>
      <c r="J27" s="87"/>
      <c r="K27" s="87"/>
      <c r="L27" s="88"/>
      <c r="Z27" s="62"/>
    </row>
    <row r="28" spans="2:26" ht="18" customHeight="1" x14ac:dyDescent="0.3">
      <c r="B28" s="58"/>
      <c r="C28" s="67" t="s">
        <v>10</v>
      </c>
      <c r="D28" s="70"/>
      <c r="E28" s="61"/>
      <c r="F28" s="86"/>
      <c r="G28" s="87"/>
      <c r="H28" s="87"/>
      <c r="I28" s="87"/>
      <c r="J28" s="87"/>
      <c r="K28" s="87"/>
      <c r="L28" s="88"/>
      <c r="Z28" s="62"/>
    </row>
    <row r="29" spans="2:26" ht="18" customHeight="1" x14ac:dyDescent="0.3">
      <c r="B29" s="58"/>
      <c r="C29" s="67" t="s">
        <v>12</v>
      </c>
      <c r="D29" s="69"/>
      <c r="E29" s="61"/>
      <c r="F29" s="86"/>
      <c r="G29" s="87"/>
      <c r="H29" s="87"/>
      <c r="I29" s="87"/>
      <c r="J29" s="87"/>
      <c r="K29" s="87"/>
      <c r="L29" s="88"/>
      <c r="Z29" s="62"/>
    </row>
    <row r="30" spans="2:26" ht="18" customHeight="1" x14ac:dyDescent="0.35">
      <c r="B30" s="58"/>
      <c r="C30" s="67"/>
      <c r="D30"/>
      <c r="E30" s="61"/>
      <c r="F30" s="86"/>
      <c r="G30" s="87"/>
      <c r="H30" s="87"/>
      <c r="I30" s="87"/>
      <c r="J30" s="87"/>
      <c r="K30" s="87"/>
      <c r="L30" s="88"/>
      <c r="Z30" s="62"/>
    </row>
    <row r="31" spans="2:26" ht="18" customHeight="1" x14ac:dyDescent="0.35">
      <c r="B31" s="58"/>
      <c r="C31" s="73" t="s">
        <v>43</v>
      </c>
      <c r="D31"/>
      <c r="E31" s="61"/>
      <c r="F31" s="86"/>
      <c r="G31" s="87"/>
      <c r="H31" s="87"/>
      <c r="I31" s="87"/>
      <c r="J31" s="87"/>
      <c r="K31" s="87"/>
      <c r="L31" s="88"/>
      <c r="Z31" s="62"/>
    </row>
    <row r="32" spans="2:26" ht="18" customHeight="1" x14ac:dyDescent="0.3">
      <c r="B32" s="58"/>
      <c r="C32" s="67" t="s">
        <v>8</v>
      </c>
      <c r="D32" s="69"/>
      <c r="E32" s="61"/>
      <c r="F32" s="86"/>
      <c r="G32" s="87"/>
      <c r="H32" s="87"/>
      <c r="I32" s="87"/>
      <c r="J32" s="87"/>
      <c r="K32" s="87"/>
      <c r="L32" s="88"/>
      <c r="Z32" s="62"/>
    </row>
    <row r="33" spans="2:26" ht="18" customHeight="1" x14ac:dyDescent="0.3">
      <c r="B33" s="58"/>
      <c r="C33" s="67" t="s">
        <v>10</v>
      </c>
      <c r="D33" s="70"/>
      <c r="E33" s="61"/>
      <c r="F33" s="86"/>
      <c r="G33" s="87"/>
      <c r="H33" s="87"/>
      <c r="I33" s="87"/>
      <c r="J33" s="87"/>
      <c r="K33" s="87"/>
      <c r="L33" s="88"/>
      <c r="Z33" s="62"/>
    </row>
    <row r="34" spans="2:26" ht="18" customHeight="1" x14ac:dyDescent="0.3">
      <c r="B34" s="58"/>
      <c r="C34" s="67" t="s">
        <v>12</v>
      </c>
      <c r="D34" s="69"/>
      <c r="E34" s="61"/>
      <c r="F34" s="81"/>
      <c r="L34" s="102"/>
      <c r="Z34" s="62"/>
    </row>
    <row r="35" spans="2:26" ht="18" customHeight="1" x14ac:dyDescent="0.35">
      <c r="B35" s="58"/>
      <c r="C35" s="67"/>
      <c r="D35"/>
      <c r="E35" s="61"/>
      <c r="F35" s="86"/>
      <c r="G35" s="87"/>
      <c r="H35" s="87"/>
      <c r="I35" s="87"/>
      <c r="J35" s="87"/>
      <c r="K35" s="87"/>
      <c r="L35" s="88"/>
      <c r="Z35" s="62"/>
    </row>
    <row r="36" spans="2:26" ht="18" customHeight="1" outlineLevel="1" x14ac:dyDescent="0.35">
      <c r="B36" s="58"/>
      <c r="C36" s="73" t="s">
        <v>111</v>
      </c>
      <c r="D36"/>
      <c r="E36" s="61"/>
      <c r="F36" s="86"/>
      <c r="G36" s="87"/>
      <c r="H36" s="87"/>
      <c r="I36" s="87"/>
      <c r="J36" s="87"/>
      <c r="K36" s="87"/>
      <c r="L36" s="88"/>
      <c r="Z36" s="62"/>
    </row>
    <row r="37" spans="2:26" ht="18" customHeight="1" outlineLevel="1" x14ac:dyDescent="0.3">
      <c r="B37" s="58"/>
      <c r="C37" s="67" t="s">
        <v>8</v>
      </c>
      <c r="D37" s="69"/>
      <c r="E37" s="61"/>
      <c r="F37" s="86"/>
      <c r="G37" s="87"/>
      <c r="H37" s="87"/>
      <c r="I37" s="87"/>
      <c r="J37" s="87"/>
      <c r="K37" s="87"/>
      <c r="L37" s="88"/>
      <c r="Z37" s="62"/>
    </row>
    <row r="38" spans="2:26" ht="18" customHeight="1" outlineLevel="1" x14ac:dyDescent="0.3">
      <c r="B38" s="58"/>
      <c r="C38" s="67" t="s">
        <v>10</v>
      </c>
      <c r="D38" s="70"/>
      <c r="E38" s="61"/>
      <c r="F38" s="86"/>
      <c r="G38" s="87"/>
      <c r="H38" s="87"/>
      <c r="I38" s="87"/>
      <c r="J38" s="87"/>
      <c r="K38" s="87"/>
      <c r="L38" s="88"/>
      <c r="Z38" s="62"/>
    </row>
    <row r="39" spans="2:26" ht="18" customHeight="1" outlineLevel="1" x14ac:dyDescent="0.3">
      <c r="B39" s="58"/>
      <c r="C39" s="67" t="s">
        <v>12</v>
      </c>
      <c r="D39" s="69"/>
      <c r="E39" s="61"/>
      <c r="F39" s="81"/>
      <c r="L39" s="102"/>
      <c r="Z39" s="62"/>
    </row>
    <row r="40" spans="2:26" ht="18" customHeight="1" x14ac:dyDescent="0.35">
      <c r="B40" s="58"/>
      <c r="C40" s="67"/>
      <c r="D40"/>
      <c r="E40" s="61"/>
      <c r="F40" s="86"/>
      <c r="G40" s="87"/>
      <c r="H40" s="87"/>
      <c r="I40" s="87"/>
      <c r="J40" s="87"/>
      <c r="K40" s="87"/>
      <c r="L40" s="88"/>
      <c r="Z40" s="62"/>
    </row>
    <row r="41" spans="2:26" ht="18" customHeight="1" outlineLevel="1" x14ac:dyDescent="0.35">
      <c r="B41" s="58"/>
      <c r="C41" s="73" t="s">
        <v>110</v>
      </c>
      <c r="D41"/>
      <c r="E41" s="61"/>
      <c r="F41" s="86"/>
      <c r="G41" s="87"/>
      <c r="H41" s="87"/>
      <c r="I41" s="87"/>
      <c r="J41" s="87"/>
      <c r="K41" s="87"/>
      <c r="L41" s="88"/>
      <c r="Z41" s="62"/>
    </row>
    <row r="42" spans="2:26" ht="18" customHeight="1" outlineLevel="1" x14ac:dyDescent="0.3">
      <c r="B42" s="58"/>
      <c r="C42" s="67" t="s">
        <v>8</v>
      </c>
      <c r="D42" s="69"/>
      <c r="E42" s="61"/>
      <c r="F42" s="86"/>
      <c r="G42" s="87"/>
      <c r="H42" s="87"/>
      <c r="I42" s="87"/>
      <c r="J42" s="87"/>
      <c r="K42" s="87"/>
      <c r="L42" s="88"/>
      <c r="Z42" s="62"/>
    </row>
    <row r="43" spans="2:26" ht="18" customHeight="1" outlineLevel="1" x14ac:dyDescent="0.3">
      <c r="B43" s="58"/>
      <c r="C43" s="67" t="s">
        <v>10</v>
      </c>
      <c r="D43" s="70"/>
      <c r="E43" s="61"/>
      <c r="F43" s="86"/>
      <c r="G43" s="87"/>
      <c r="H43" s="87"/>
      <c r="I43" s="87"/>
      <c r="J43" s="87"/>
      <c r="K43" s="87"/>
      <c r="L43" s="88"/>
      <c r="Z43" s="62"/>
    </row>
    <row r="44" spans="2:26" ht="18" customHeight="1" outlineLevel="1" x14ac:dyDescent="0.3">
      <c r="B44" s="58"/>
      <c r="C44" s="67" t="s">
        <v>12</v>
      </c>
      <c r="D44" s="69"/>
      <c r="E44" s="61"/>
      <c r="F44" s="81"/>
      <c r="L44" s="102"/>
      <c r="Z44" s="62"/>
    </row>
    <row r="45" spans="2:26" ht="18" customHeight="1" x14ac:dyDescent="0.3">
      <c r="B45" s="58"/>
      <c r="C45" s="67"/>
      <c r="D45" s="71"/>
      <c r="E45" s="61"/>
      <c r="F45" s="81"/>
      <c r="L45" s="102"/>
      <c r="Z45" s="62"/>
    </row>
    <row r="46" spans="2:26" ht="18" customHeight="1" x14ac:dyDescent="0.3">
      <c r="B46" s="58"/>
      <c r="C46" s="73" t="s">
        <v>44</v>
      </c>
      <c r="D46" s="71"/>
      <c r="E46" s="61"/>
      <c r="F46" s="81"/>
      <c r="L46" s="102"/>
      <c r="Z46" s="62"/>
    </row>
    <row r="47" spans="2:26" ht="18" customHeight="1" x14ac:dyDescent="0.3">
      <c r="B47" s="58"/>
      <c r="C47" s="67" t="s">
        <v>31</v>
      </c>
      <c r="D47" s="70"/>
      <c r="E47" s="61"/>
      <c r="F47" s="81"/>
      <c r="L47" s="102"/>
    </row>
    <row r="48" spans="2:26" ht="18" customHeight="1" x14ac:dyDescent="0.3">
      <c r="B48" s="58"/>
      <c r="C48" s="67" t="s">
        <v>32</v>
      </c>
      <c r="D48" s="72"/>
      <c r="E48" s="61"/>
      <c r="F48" s="81"/>
      <c r="L48" s="102"/>
      <c r="Z48" s="63"/>
    </row>
    <row r="49" spans="2:26" ht="18" customHeight="1" x14ac:dyDescent="0.3">
      <c r="B49" s="58"/>
      <c r="C49" s="67" t="s">
        <v>33</v>
      </c>
      <c r="D49" s="190"/>
      <c r="E49" s="61"/>
      <c r="F49" s="81"/>
      <c r="L49" s="102"/>
      <c r="Z49" s="63"/>
    </row>
    <row r="50" spans="2:26" ht="18" customHeight="1" x14ac:dyDescent="0.3">
      <c r="B50" s="58"/>
      <c r="C50" s="67" t="s">
        <v>89</v>
      </c>
      <c r="D50" s="165"/>
      <c r="E50" s="61"/>
      <c r="F50" s="81"/>
      <c r="L50" s="102"/>
      <c r="Z50" s="63"/>
    </row>
    <row r="51" spans="2:26" ht="19.5" customHeight="1" thickBot="1" x14ac:dyDescent="0.35">
      <c r="B51" s="58"/>
      <c r="C51" s="64"/>
      <c r="D51" s="60"/>
      <c r="E51" s="61"/>
      <c r="F51" s="103"/>
      <c r="G51" s="104"/>
      <c r="H51" s="104"/>
      <c r="I51" s="104"/>
      <c r="J51" s="104"/>
      <c r="K51" s="104"/>
      <c r="L51" s="105"/>
    </row>
    <row r="52" spans="2:26" s="65" customFormat="1" ht="18" x14ac:dyDescent="0.35">
      <c r="B52" s="126"/>
      <c r="C52" s="140"/>
      <c r="D52" s="127"/>
      <c r="E52" s="128"/>
      <c r="F52" s="205" t="s">
        <v>99</v>
      </c>
      <c r="G52" s="210">
        <f t="shared" ref="G52:L52" si="6">G6</f>
        <v>0.5</v>
      </c>
      <c r="H52" s="210">
        <f t="shared" si="6"/>
        <v>0.6</v>
      </c>
      <c r="I52" s="210">
        <f t="shared" si="6"/>
        <v>0.65</v>
      </c>
      <c r="J52" s="210">
        <f t="shared" si="6"/>
        <v>0.7</v>
      </c>
      <c r="K52" s="210">
        <f t="shared" si="6"/>
        <v>0.75</v>
      </c>
      <c r="L52" s="211">
        <f t="shared" si="6"/>
        <v>0.8</v>
      </c>
    </row>
    <row r="53" spans="2:26" s="65" customFormat="1" ht="51.75" customHeight="1" x14ac:dyDescent="0.3">
      <c r="B53" s="129"/>
      <c r="C53" s="187" t="s">
        <v>93</v>
      </c>
      <c r="D53" s="216" t="str">
        <f>IF(D50='MA Validation'!$A$65,IFERROR(ROUNDDOWN(MAX(G26:L26),0),""),IFERROR(ROUNDDOWN(MAX(G24:L24),0),""))</f>
        <v/>
      </c>
      <c r="E53" s="132"/>
      <c r="F53" s="204" t="s">
        <v>93</v>
      </c>
      <c r="G53" s="212" t="str">
        <f>IF($D$50='MA Validation'!$A$65,IFERROR(ROUNDDOWN(MAX(G26),0),""),IFERROR(ROUNDDOWN(MAX(G24),0),""))</f>
        <v/>
      </c>
      <c r="H53" s="212" t="str">
        <f>IF($D$50='MA Validation'!$A$65,IFERROR(ROUNDDOWN(MAX(H26),0),""),IFERROR(ROUNDDOWN(MAX(H24),0),""))</f>
        <v/>
      </c>
      <c r="I53" s="212" t="str">
        <f>IF($D$50='MA Validation'!$A$65,IFERROR(ROUNDDOWN(MAX(I26),0),""),IFERROR(ROUNDDOWN(MAX(I24),0),""))</f>
        <v/>
      </c>
      <c r="J53" s="212" t="str">
        <f>IF($D$50='MA Validation'!$A$65,IFERROR(ROUNDDOWN(MAX(J26),0),""),IFERROR(ROUNDDOWN(MAX(J24),0),""))</f>
        <v/>
      </c>
      <c r="K53" s="212" t="str">
        <f>IF($D$50='MA Validation'!$A$65,IFERROR(ROUNDDOWN(MAX(K26),0),""),IFERROR(ROUNDDOWN(MAX(K24),0),""))</f>
        <v/>
      </c>
      <c r="L53" s="213" t="str">
        <f>IF($D$50='MA Validation'!$A$65,IFERROR(ROUNDDOWN(MAX(L26),0),""),IFERROR(ROUNDDOWN(MAX(L24),0),""))</f>
        <v/>
      </c>
      <c r="N53" s="229"/>
      <c r="O53" s="229"/>
      <c r="P53" s="229"/>
      <c r="Q53" s="229"/>
      <c r="R53" s="229"/>
    </row>
    <row r="54" spans="2:26" s="65" customFormat="1" ht="29.25" customHeight="1" x14ac:dyDescent="0.3">
      <c r="B54" s="129"/>
      <c r="C54" s="145" t="s">
        <v>98</v>
      </c>
      <c r="D54" s="188" t="str">
        <f>IFERROR(D53-D55,"")</f>
        <v/>
      </c>
      <c r="E54" s="132"/>
      <c r="F54" s="204" t="s">
        <v>92</v>
      </c>
      <c r="G54" s="207" t="str">
        <f>IFERROR(G53-G55,"")</f>
        <v/>
      </c>
      <c r="H54" s="207" t="str">
        <f t="shared" ref="H54:L54" si="7">IFERROR(H53-H55,"")</f>
        <v/>
      </c>
      <c r="I54" s="207" t="str">
        <f t="shared" si="7"/>
        <v/>
      </c>
      <c r="J54" s="207" t="str">
        <f t="shared" si="7"/>
        <v/>
      </c>
      <c r="K54" s="207" t="str">
        <f t="shared" si="7"/>
        <v/>
      </c>
      <c r="L54" s="199" t="str">
        <f t="shared" si="7"/>
        <v/>
      </c>
      <c r="N54" s="229"/>
      <c r="O54" s="229"/>
      <c r="P54" s="229"/>
      <c r="Q54" s="229"/>
      <c r="R54" s="229"/>
    </row>
    <row r="55" spans="2:26" s="65" customFormat="1" ht="41.25" customHeight="1" x14ac:dyDescent="0.3">
      <c r="B55" s="129"/>
      <c r="C55" s="145" t="str">
        <f>IF(D50='MA Validation'!$A$66,'MA Validation'!$B$66, IF(D50='MA Validation'!$A$65,'MA Validation'!$B$65,"Product Fee"))</f>
        <v>Product Fee</v>
      </c>
      <c r="D55" s="188" t="str">
        <f>IF($D$49&gt;1,$D$49,IF($D$50='MA Validation'!$A$66,$D$53/(1+$D$49)*$D$49,IF($D$50='MA Validation'!$A$65,$D$53*$D$49,"")))</f>
        <v/>
      </c>
      <c r="E55" s="132"/>
      <c r="F55" s="204" t="s">
        <v>100</v>
      </c>
      <c r="G55" s="208" t="str">
        <f>IF($D$49&gt;1,$D$49,IF($D$50='MA Validation'!$A$66,G53/(1+$D$49)*$D$49,IF($D$50='MA Validation'!$A$65,G53*$D$49,"")))</f>
        <v/>
      </c>
      <c r="H55" s="208" t="str">
        <f>IF($D$49&gt;1,$D$49,IF($D$50='MA Validation'!$A$66,H53/(1+$D$49)*$D$49,IF($D$50='MA Validation'!$A$65,H53*$D$49,"")))</f>
        <v/>
      </c>
      <c r="I55" s="208" t="str">
        <f>IF($D$49&gt;1,$D$49,IF($D$50='MA Validation'!$A$66,I53/(1+$D$49)*$D$49,IF($D$50='MA Validation'!$A$65,I53*$D$49,"")))</f>
        <v/>
      </c>
      <c r="J55" s="208" t="str">
        <f>IF($D$49&gt;1,$D$49,IF($D$50='MA Validation'!$A$66,J53/(1+$D$49)*$D$49,IF($D$50='MA Validation'!$A$65,J53*$D$49,"")))</f>
        <v/>
      </c>
      <c r="K55" s="208" t="str">
        <f>IF($D$49&gt;1,$D$49,IF($D$50='MA Validation'!$A$66,K53/(1+$D$49)*$D$49,IF($D$50='MA Validation'!$A$65,K53*$D$49,"")))</f>
        <v/>
      </c>
      <c r="L55" s="202" t="str">
        <f>IF($D$49&gt;1,$D$49,IF($D$50='MA Validation'!$A$66,L53/(1+$D$49)*$D$49,IF($D$50='MA Validation'!$A$65,L53*$D$49,"")))</f>
        <v/>
      </c>
    </row>
    <row r="56" spans="2:26" s="65" customFormat="1" ht="36" customHeight="1" x14ac:dyDescent="0.3">
      <c r="B56" s="129"/>
      <c r="C56" s="145" t="s">
        <v>34</v>
      </c>
      <c r="D56" s="146" t="str">
        <f>IFERROR((D53+D17+D22+D27+D32+D37+D42)/D6,"")</f>
        <v/>
      </c>
      <c r="E56" s="132"/>
      <c r="F56" s="204" t="s">
        <v>101</v>
      </c>
      <c r="G56" s="209" t="str">
        <f t="shared" ref="G56:L56" si="8">IFERROR((G53+$D$17+$D$22+$D$27+$D$32+$D$37+$D$42)/$D$6,"")</f>
        <v/>
      </c>
      <c r="H56" s="209" t="str">
        <f t="shared" si="8"/>
        <v/>
      </c>
      <c r="I56" s="209" t="str">
        <f t="shared" si="8"/>
        <v/>
      </c>
      <c r="J56" s="209" t="str">
        <f t="shared" si="8"/>
        <v/>
      </c>
      <c r="K56" s="209" t="str">
        <f t="shared" si="8"/>
        <v/>
      </c>
      <c r="L56" s="206" t="str">
        <f t="shared" si="8"/>
        <v/>
      </c>
    </row>
    <row r="57" spans="2:26" s="65" customFormat="1" ht="14.5" thickBot="1" x14ac:dyDescent="0.35">
      <c r="B57" s="133"/>
      <c r="C57" s="147"/>
      <c r="D57" s="147"/>
      <c r="E57" s="144"/>
      <c r="F57" s="203" t="s">
        <v>103</v>
      </c>
      <c r="G57" s="200"/>
      <c r="H57" s="200"/>
      <c r="I57" s="200"/>
      <c r="J57" s="200"/>
      <c r="K57" s="200"/>
      <c r="L57" s="201"/>
    </row>
    <row r="58" spans="2:26" ht="18.649999999999999" customHeight="1" x14ac:dyDescent="0.3">
      <c r="C58" s="66"/>
    </row>
    <row r="59" spans="2:26" ht="18.649999999999999" customHeight="1" x14ac:dyDescent="0.3">
      <c r="B59" s="241" t="str">
        <f>IF(D9='Exposure Cap'!A6,"For customers with exposure of over £5m with The Mortgage Works please contact 0345 600 31 31 for this case to be referred to our senior underwriting team","")</f>
        <v/>
      </c>
      <c r="C59" s="241"/>
      <c r="D59" s="241"/>
      <c r="E59" s="241"/>
    </row>
    <row r="60" spans="2:26" ht="18.649999999999999" customHeight="1" x14ac:dyDescent="0.3">
      <c r="B60" s="241"/>
      <c r="C60" s="241"/>
      <c r="D60" s="241"/>
      <c r="E60" s="241"/>
    </row>
    <row r="61" spans="2:26" ht="18.649999999999999" customHeight="1" x14ac:dyDescent="0.3">
      <c r="C61" s="66"/>
    </row>
    <row r="62" spans="2:26" x14ac:dyDescent="0.3">
      <c r="B62" s="232" t="s">
        <v>114</v>
      </c>
      <c r="C62" s="233"/>
      <c r="D62" s="233"/>
      <c r="E62" s="234"/>
      <c r="G62" s="74" t="s">
        <v>104</v>
      </c>
    </row>
    <row r="63" spans="2:26" x14ac:dyDescent="0.3">
      <c r="B63" s="235"/>
      <c r="C63" s="236"/>
      <c r="D63" s="236"/>
      <c r="E63" s="237"/>
      <c r="F63" s="74" t="s">
        <v>93</v>
      </c>
      <c r="G63" s="218" t="e">
        <f>G53-'Single Account FA '!G25</f>
        <v>#VALUE!</v>
      </c>
      <c r="H63" s="215" t="e">
        <f>H53-'Single Account FA '!H25</f>
        <v>#VALUE!</v>
      </c>
      <c r="I63" s="215" t="e">
        <f>I53-'Single Account FA '!I25</f>
        <v>#VALUE!</v>
      </c>
      <c r="J63" s="215" t="e">
        <f>J53-'Single Account FA '!J25</f>
        <v>#VALUE!</v>
      </c>
      <c r="K63" s="215" t="e">
        <f>K53-'Single Account FA '!K25</f>
        <v>#VALUE!</v>
      </c>
      <c r="L63" s="215" t="e">
        <f>L53-'Single Account FA '!L25</f>
        <v>#VALUE!</v>
      </c>
    </row>
    <row r="64" spans="2:26" x14ac:dyDescent="0.3">
      <c r="B64" s="235"/>
      <c r="C64" s="236"/>
      <c r="D64" s="236"/>
      <c r="E64" s="237"/>
      <c r="F64" s="74" t="s">
        <v>92</v>
      </c>
      <c r="G64" s="218" t="e">
        <f>G54-'Single Account FA '!G26</f>
        <v>#VALUE!</v>
      </c>
      <c r="H64" s="215" t="e">
        <f>H54-'Single Account FA '!H26</f>
        <v>#VALUE!</v>
      </c>
      <c r="I64" s="215" t="e">
        <f>I54-'Single Account FA '!I26</f>
        <v>#VALUE!</v>
      </c>
      <c r="J64" s="215" t="e">
        <f>J54-'Single Account FA '!J26</f>
        <v>#VALUE!</v>
      </c>
      <c r="K64" s="215" t="e">
        <f>K54-'Single Account FA '!K26</f>
        <v>#VALUE!</v>
      </c>
      <c r="L64" s="215" t="e">
        <f>L54-'Single Account FA '!L26</f>
        <v>#VALUE!</v>
      </c>
    </row>
    <row r="65" spans="2:12" ht="14.15" customHeight="1" x14ac:dyDescent="0.3">
      <c r="B65" s="235"/>
      <c r="C65" s="236"/>
      <c r="D65" s="236"/>
      <c r="E65" s="237"/>
      <c r="F65" s="74" t="s">
        <v>100</v>
      </c>
      <c r="G65" s="218" t="e">
        <f>G55-'Single Account FA '!G27</f>
        <v>#VALUE!</v>
      </c>
      <c r="H65" s="215" t="e">
        <f>H55-'Single Account FA '!H27</f>
        <v>#VALUE!</v>
      </c>
      <c r="I65" s="215" t="e">
        <f>I55-'Single Account FA '!I27</f>
        <v>#VALUE!</v>
      </c>
      <c r="J65" s="215" t="e">
        <f>J55-'Single Account FA '!J27</f>
        <v>#VALUE!</v>
      </c>
      <c r="K65" s="215" t="e">
        <f>K55-'Single Account FA '!K27</f>
        <v>#VALUE!</v>
      </c>
      <c r="L65" s="215" t="e">
        <f>L55-'Single Account FA '!L27</f>
        <v>#VALUE!</v>
      </c>
    </row>
    <row r="66" spans="2:12" ht="14.15" customHeight="1" x14ac:dyDescent="0.3">
      <c r="B66" s="235"/>
      <c r="C66" s="236"/>
      <c r="D66" s="236"/>
      <c r="E66" s="237"/>
      <c r="F66" s="74" t="s">
        <v>101</v>
      </c>
      <c r="G66" s="215" t="e">
        <f>G56-'Single Account FA '!G28</f>
        <v>#VALUE!</v>
      </c>
      <c r="H66" s="215" t="e">
        <f>H56-'Single Account FA '!H28</f>
        <v>#VALUE!</v>
      </c>
      <c r="I66" s="215" t="e">
        <f>I56-'Single Account FA '!I28</f>
        <v>#VALUE!</v>
      </c>
      <c r="J66" s="215" t="e">
        <f>J56-'Single Account FA '!J28</f>
        <v>#VALUE!</v>
      </c>
      <c r="K66" s="215" t="e">
        <f>K56-'Single Account FA '!K28</f>
        <v>#VALUE!</v>
      </c>
      <c r="L66" s="215" t="e">
        <f>L56-'Single Account FA '!L28</f>
        <v>#VALUE!</v>
      </c>
    </row>
    <row r="67" spans="2:12" ht="36" customHeight="1" x14ac:dyDescent="0.3">
      <c r="B67" s="238"/>
      <c r="C67" s="239"/>
      <c r="D67" s="239"/>
      <c r="E67" s="240"/>
    </row>
    <row r="68" spans="2:12" x14ac:dyDescent="0.3">
      <c r="C68" s="66"/>
    </row>
    <row r="69" spans="2:12" ht="14.15" customHeight="1" x14ac:dyDescent="0.3"/>
    <row r="70" spans="2:12" x14ac:dyDescent="0.3">
      <c r="C70" s="66"/>
    </row>
    <row r="71" spans="2:12" x14ac:dyDescent="0.3">
      <c r="C71" s="66"/>
    </row>
    <row r="72" spans="2:12" x14ac:dyDescent="0.3">
      <c r="C72" s="66"/>
    </row>
    <row r="73" spans="2:12" x14ac:dyDescent="0.3">
      <c r="C73" s="66"/>
    </row>
    <row r="74" spans="2:12" x14ac:dyDescent="0.3">
      <c r="C74" s="66"/>
    </row>
  </sheetData>
  <sheetProtection algorithmName="SHA-512" hashValue="fo0pfYa6GjcZZiLaEu8Lwj7btuCRkSnG7PFajZYxMseG+/RdH/xkdPJkruKQuHMKTwAgA2wnYWpmC5mGFKGsmg==" saltValue="ZgxZ6Vc2kSQOrSvjk/XWZg==" spinCount="100000" sheet="1" objects="1" scenarios="1"/>
  <mergeCells count="4">
    <mergeCell ref="C4:E4"/>
    <mergeCell ref="B62:E67"/>
    <mergeCell ref="B59:E60"/>
    <mergeCell ref="N2:T4"/>
  </mergeCells>
  <conditionalFormatting sqref="D49">
    <cfRule type="expression" dxfId="2" priority="1" stopIfTrue="1">
      <formula>$D$49=0</formula>
    </cfRule>
    <cfRule type="expression" dxfId="1" priority="2" stopIfTrue="1">
      <formula>$D$49&lt;1</formula>
    </cfRule>
    <cfRule type="expression" dxfId="0" priority="3">
      <formula>$D$49&gt;1</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&amp;L&amp;"Calibri"&amp;10&amp;K77b80dNBS Public&amp;1#</oddHeader>
    <oddFooter>&amp;L&amp;1#&amp;"Calibri"&amp;10&amp;K77b80dNBS Public</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15AF2DC-F7AD-4D29-875B-1F28DCB07BBF}">
          <x14:formula1>
            <xm:f>'MA Validation'!$A$27:$A$28</xm:f>
          </x14:formula1>
          <xm:sqref>D10</xm:sqref>
        </x14:dataValidation>
        <x14:dataValidation type="list" allowBlank="1" showInputMessage="1" showErrorMessage="1" xr:uid="{000049E3-2D22-4295-AE89-FE14C19910C8}">
          <x14:formula1>
            <xm:f>'MA Validation'!$A$35:$A$39</xm:f>
          </x14:formula1>
          <xm:sqref>D9</xm:sqref>
        </x14:dataValidation>
        <x14:dataValidation type="list" allowBlank="1" showInputMessage="1" showErrorMessage="1" xr:uid="{21C29BF2-3CCA-45ED-9E73-E2B424585DED}">
          <x14:formula1>
            <xm:f>'MA Validation'!$A$31:$A$32</xm:f>
          </x14:formula1>
          <xm:sqref>D11</xm:sqref>
        </x14:dataValidation>
        <x14:dataValidation type="list" allowBlank="1" showInputMessage="1" showErrorMessage="1" xr:uid="{347FC532-121C-4FDF-A1F7-370BF8F2CF59}">
          <x14:formula1>
            <xm:f>'MA Validation'!$A$23:$A$24</xm:f>
          </x14:formula1>
          <xm:sqref>D12</xm:sqref>
        </x14:dataValidation>
        <x14:dataValidation type="list" allowBlank="1" showInputMessage="1" showErrorMessage="1" xr:uid="{E13471CB-1A15-4905-9D93-A7AECBB54A40}">
          <x14:formula1>
            <xm:f>'MA Validation'!$A$19:$A$20</xm:f>
          </x14:formula1>
          <xm:sqref>D14</xm:sqref>
        </x14:dataValidation>
        <x14:dataValidation type="list" allowBlank="1" showInputMessage="1" showErrorMessage="1" xr:uid="{1287D7ED-319E-44CB-AC4F-D24C2202DA81}">
          <x14:formula1>
            <xm:f>'MA Validation'!$A$15:$A$16</xm:f>
          </x14:formula1>
          <xm:sqref>D13</xm:sqref>
        </x14:dataValidation>
        <x14:dataValidation type="list" allowBlank="1" showInputMessage="1" showErrorMessage="1" xr:uid="{2162D5DE-5CA1-4628-9BEB-6392FFEF320D}">
          <x14:formula1>
            <xm:f>'MA Validation'!$A$3:$A$5</xm:f>
          </x14:formula1>
          <xm:sqref>D19 D48 D29 D24 D34 D39 D44</xm:sqref>
        </x14:dataValidation>
        <x14:dataValidation type="list" allowBlank="1" showInputMessage="1" showErrorMessage="1" xr:uid="{A995C21A-D15F-46E5-BCF7-65EA5BEB5766}">
          <x14:formula1>
            <xm:f>'SA Validation'!$A$56:$A$61</xm:f>
          </x14:formula1>
          <xm:sqref>D49</xm:sqref>
        </x14:dataValidation>
        <x14:dataValidation type="list" allowBlank="1" showInputMessage="1" showErrorMessage="1" xr:uid="{33D3C084-346B-4D81-92AC-F0DC329A369D}">
          <x14:formula1>
            <xm:f>'SA Validation'!$A$65:$A$66</xm:f>
          </x14:formula1>
          <xm:sqref>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26983-D3F3-4066-9731-DA27DB57F573}">
  <sheetPr>
    <tabColor theme="8"/>
  </sheetPr>
  <dimension ref="A1:B66"/>
  <sheetViews>
    <sheetView workbookViewId="0">
      <selection activeCell="F32" sqref="F32"/>
    </sheetView>
  </sheetViews>
  <sheetFormatPr defaultRowHeight="14.5" x14ac:dyDescent="0.35"/>
  <cols>
    <col min="1" max="1" width="47.1796875" customWidth="1"/>
    <col min="2" max="2" width="14.54296875" bestFit="1" customWidth="1"/>
  </cols>
  <sheetData>
    <row r="1" spans="1:2" x14ac:dyDescent="0.35">
      <c r="A1" s="2"/>
    </row>
    <row r="2" spans="1:2" x14ac:dyDescent="0.35">
      <c r="A2" s="2" t="s">
        <v>45</v>
      </c>
    </row>
    <row r="3" spans="1:2" x14ac:dyDescent="0.35">
      <c r="A3" s="3" t="s">
        <v>46</v>
      </c>
    </row>
    <row r="4" spans="1:2" x14ac:dyDescent="0.35">
      <c r="A4" s="3" t="s">
        <v>13</v>
      </c>
    </row>
    <row r="5" spans="1:2" x14ac:dyDescent="0.35">
      <c r="A5" s="3" t="s">
        <v>47</v>
      </c>
    </row>
    <row r="6" spans="1:2" x14ac:dyDescent="0.35">
      <c r="A6" s="3"/>
    </row>
    <row r="7" spans="1:2" x14ac:dyDescent="0.35">
      <c r="A7" s="3"/>
    </row>
    <row r="8" spans="1:2" x14ac:dyDescent="0.35">
      <c r="A8" s="2" t="s">
        <v>48</v>
      </c>
      <c r="B8" t="s">
        <v>49</v>
      </c>
    </row>
    <row r="9" spans="1:2" x14ac:dyDescent="0.35">
      <c r="A9" s="3" t="s">
        <v>50</v>
      </c>
      <c r="B9" t="s">
        <v>51</v>
      </c>
    </row>
    <row r="10" spans="1:2" x14ac:dyDescent="0.35">
      <c r="A10" s="3" t="s">
        <v>52</v>
      </c>
      <c r="B10" t="s">
        <v>53</v>
      </c>
    </row>
    <row r="11" spans="1:2" x14ac:dyDescent="0.35">
      <c r="A11" s="3" t="s">
        <v>54</v>
      </c>
      <c r="B11" t="s">
        <v>53</v>
      </c>
    </row>
    <row r="12" spans="1:2" x14ac:dyDescent="0.35">
      <c r="A12" s="3" t="s">
        <v>55</v>
      </c>
      <c r="B12" t="s">
        <v>53</v>
      </c>
    </row>
    <row r="14" spans="1:2" x14ac:dyDescent="0.35">
      <c r="A14" s="2" t="s">
        <v>56</v>
      </c>
    </row>
    <row r="15" spans="1:2" x14ac:dyDescent="0.35">
      <c r="A15" s="155" t="s">
        <v>27</v>
      </c>
    </row>
    <row r="16" spans="1:2" x14ac:dyDescent="0.35">
      <c r="A16" s="155" t="s">
        <v>57</v>
      </c>
    </row>
    <row r="18" spans="1:1" x14ac:dyDescent="0.35">
      <c r="A18" s="2" t="s">
        <v>58</v>
      </c>
    </row>
    <row r="19" spans="1:1" x14ac:dyDescent="0.35">
      <c r="A19" s="3" t="s">
        <v>30</v>
      </c>
    </row>
    <row r="20" spans="1:1" x14ac:dyDescent="0.35">
      <c r="A20" s="3" t="s">
        <v>59</v>
      </c>
    </row>
    <row r="22" spans="1:1" x14ac:dyDescent="0.35">
      <c r="A22" s="2" t="s">
        <v>60</v>
      </c>
    </row>
    <row r="23" spans="1:1" x14ac:dyDescent="0.35">
      <c r="A23" s="3" t="s">
        <v>24</v>
      </c>
    </row>
    <row r="24" spans="1:1" x14ac:dyDescent="0.35">
      <c r="A24" s="3" t="s">
        <v>61</v>
      </c>
    </row>
    <row r="26" spans="1:1" x14ac:dyDescent="0.35">
      <c r="A26" s="2" t="s">
        <v>62</v>
      </c>
    </row>
    <row r="27" spans="1:1" x14ac:dyDescent="0.35">
      <c r="A27" s="3" t="s">
        <v>19</v>
      </c>
    </row>
    <row r="28" spans="1:1" x14ac:dyDescent="0.35">
      <c r="A28" s="3" t="s">
        <v>63</v>
      </c>
    </row>
    <row r="30" spans="1:1" x14ac:dyDescent="0.35">
      <c r="A30" s="2" t="s">
        <v>64</v>
      </c>
    </row>
    <row r="31" spans="1:1" x14ac:dyDescent="0.35">
      <c r="A31" s="3" t="s">
        <v>21</v>
      </c>
    </row>
    <row r="32" spans="1:1" x14ac:dyDescent="0.35">
      <c r="A32" s="3" t="s">
        <v>65</v>
      </c>
    </row>
    <row r="34" spans="1:1" x14ac:dyDescent="0.35">
      <c r="A34" s="2" t="s">
        <v>66</v>
      </c>
    </row>
    <row r="35" spans="1:1" x14ac:dyDescent="0.35">
      <c r="A35" s="3" t="s">
        <v>17</v>
      </c>
    </row>
    <row r="36" spans="1:1" x14ac:dyDescent="0.35">
      <c r="A36" s="3" t="s">
        <v>67</v>
      </c>
    </row>
    <row r="37" spans="1:1" x14ac:dyDescent="0.35">
      <c r="A37" s="3" t="s">
        <v>105</v>
      </c>
    </row>
    <row r="38" spans="1:1" x14ac:dyDescent="0.35">
      <c r="A38" s="3" t="s">
        <v>106</v>
      </c>
    </row>
    <row r="39" spans="1:1" x14ac:dyDescent="0.35">
      <c r="A39" s="3" t="s">
        <v>107</v>
      </c>
    </row>
    <row r="41" spans="1:1" x14ac:dyDescent="0.35">
      <c r="A41" s="1" t="s">
        <v>68</v>
      </c>
    </row>
    <row r="43" spans="1:1" x14ac:dyDescent="0.35">
      <c r="A43" s="41" t="s">
        <v>69</v>
      </c>
    </row>
    <row r="44" spans="1:1" x14ac:dyDescent="0.35">
      <c r="A44" s="43">
        <v>0.5</v>
      </c>
    </row>
    <row r="45" spans="1:1" x14ac:dyDescent="0.35">
      <c r="A45" s="43">
        <v>0.6</v>
      </c>
    </row>
    <row r="46" spans="1:1" x14ac:dyDescent="0.35">
      <c r="A46" s="43">
        <v>0.65</v>
      </c>
    </row>
    <row r="47" spans="1:1" x14ac:dyDescent="0.35">
      <c r="A47" s="43">
        <v>0.7</v>
      </c>
    </row>
    <row r="48" spans="1:1" x14ac:dyDescent="0.35">
      <c r="A48" s="43">
        <v>0.75</v>
      </c>
    </row>
    <row r="49" spans="1:1" x14ac:dyDescent="0.35">
      <c r="A49" s="43">
        <v>0.8</v>
      </c>
    </row>
    <row r="51" spans="1:1" x14ac:dyDescent="0.35">
      <c r="A51" s="41" t="s">
        <v>70</v>
      </c>
    </row>
    <row r="52" spans="1:1" x14ac:dyDescent="0.35">
      <c r="A52" s="156" t="s">
        <v>6</v>
      </c>
    </row>
    <row r="53" spans="1:1" x14ac:dyDescent="0.35">
      <c r="A53" s="157" t="s">
        <v>7</v>
      </c>
    </row>
    <row r="54" spans="1:1" x14ac:dyDescent="0.35">
      <c r="A54" s="42"/>
    </row>
    <row r="55" spans="1:1" x14ac:dyDescent="0.35">
      <c r="A55" t="s">
        <v>71</v>
      </c>
    </row>
    <row r="56" spans="1:1" x14ac:dyDescent="0.35">
      <c r="A56" s="189">
        <v>0.05</v>
      </c>
    </row>
    <row r="57" spans="1:1" x14ac:dyDescent="0.35">
      <c r="A57" s="189">
        <v>0.03</v>
      </c>
    </row>
    <row r="58" spans="1:1" x14ac:dyDescent="0.35">
      <c r="A58" s="189">
        <v>0.02</v>
      </c>
    </row>
    <row r="59" spans="1:1" x14ac:dyDescent="0.35">
      <c r="A59" s="191">
        <v>3995</v>
      </c>
    </row>
    <row r="60" spans="1:1" x14ac:dyDescent="0.35">
      <c r="A60" s="191">
        <v>1495</v>
      </c>
    </row>
    <row r="61" spans="1:1" x14ac:dyDescent="0.35">
      <c r="A61" s="191">
        <v>0</v>
      </c>
    </row>
    <row r="62" spans="1:1" x14ac:dyDescent="0.35">
      <c r="A62" s="191"/>
    </row>
    <row r="64" spans="1:1" x14ac:dyDescent="0.35">
      <c r="A64" t="s">
        <v>71</v>
      </c>
    </row>
    <row r="65" spans="1:2" x14ac:dyDescent="0.35">
      <c r="A65" t="s">
        <v>90</v>
      </c>
      <c r="B65" t="s">
        <v>95</v>
      </c>
    </row>
    <row r="66" spans="1:2" x14ac:dyDescent="0.35">
      <c r="A66" t="s">
        <v>91</v>
      </c>
      <c r="B66" t="s">
        <v>94</v>
      </c>
    </row>
  </sheetData>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7DFB6-3DEA-4360-83AF-99F3338210D9}">
  <sheetPr>
    <tabColor rgb="FFFF0000"/>
  </sheetPr>
  <dimension ref="A1:F31"/>
  <sheetViews>
    <sheetView zoomScale="70" zoomScaleNormal="70" workbookViewId="0">
      <selection activeCell="F32" sqref="F32"/>
    </sheetView>
  </sheetViews>
  <sheetFormatPr defaultRowHeight="14.5" x14ac:dyDescent="0.35"/>
  <cols>
    <col min="1" max="1" width="30.453125" customWidth="1"/>
    <col min="2" max="2" width="30.453125" style="113" customWidth="1"/>
    <col min="3" max="4" width="31.54296875" customWidth="1"/>
    <col min="5" max="5" width="74.1796875" style="16" customWidth="1"/>
    <col min="6" max="6" width="15.54296875" style="4" customWidth="1"/>
  </cols>
  <sheetData>
    <row r="1" spans="1:6" ht="15" thickBot="1" x14ac:dyDescent="0.4">
      <c r="A1" s="44" t="s">
        <v>72</v>
      </c>
      <c r="B1" s="109" t="s">
        <v>9</v>
      </c>
      <c r="C1" s="10" t="s">
        <v>73</v>
      </c>
      <c r="D1" s="10" t="s">
        <v>74</v>
      </c>
      <c r="E1" s="48" t="s">
        <v>75</v>
      </c>
      <c r="F1" s="11" t="s">
        <v>76</v>
      </c>
    </row>
    <row r="2" spans="1:6" x14ac:dyDescent="0.35">
      <c r="A2" s="24" t="s">
        <v>27</v>
      </c>
      <c r="B2" s="111">
        <v>1.25</v>
      </c>
      <c r="C2" s="24" t="s">
        <v>46</v>
      </c>
      <c r="D2" s="151" t="str">
        <f>'SA Validation'!$A$52</f>
        <v>=&lt;65%</v>
      </c>
      <c r="E2" s="45" t="str">
        <f t="shared" ref="E2:E3" si="0">CONCATENATE(A2,", ",B2,", ",C2,", ",D2)</f>
        <v>Owned in personal names, 1.25, Fixed for less than 5 years, =&lt;65%</v>
      </c>
      <c r="F2" s="8">
        <f>MAX(5.5%,'Single Account FA '!$D$9+2%)</f>
        <v>5.5E-2</v>
      </c>
    </row>
    <row r="3" spans="1:6" x14ac:dyDescent="0.35">
      <c r="A3" s="24" t="str">
        <f>'SA Validation'!$A$15</f>
        <v>Owned in personal names</v>
      </c>
      <c r="B3" s="111">
        <v>1.25</v>
      </c>
      <c r="C3" s="24" t="str">
        <f>'SA Validation'!$A$3</f>
        <v>Fixed for less than 5 years</v>
      </c>
      <c r="D3" s="151" t="str">
        <f>'SA Validation'!$A$53</f>
        <v>&gt;65%</v>
      </c>
      <c r="E3" s="45" t="str">
        <f t="shared" si="0"/>
        <v>Owned in personal names, 1.25, Fixed for less than 5 years, &gt;65%</v>
      </c>
      <c r="F3" s="161">
        <f>MAX(5.5%,'Single Account FA '!$D$9+2%)</f>
        <v>5.5E-2</v>
      </c>
    </row>
    <row r="4" spans="1:6" x14ac:dyDescent="0.35">
      <c r="A4" s="24" t="str">
        <f>'SA Validation'!$A$15</f>
        <v>Owned in personal names</v>
      </c>
      <c r="B4" s="111">
        <v>1.25</v>
      </c>
      <c r="C4" s="24" t="str">
        <f>'SA Validation'!$A$4</f>
        <v>Fixed for 5 or more years</v>
      </c>
      <c r="D4" s="151" t="str">
        <f>'SA Validation'!$A$52</f>
        <v>=&lt;65%</v>
      </c>
      <c r="E4" s="45" t="str">
        <f t="shared" ref="E4:E11" si="1">CONCATENATE(A4,", ",B4,", ",C4,", ",D4)</f>
        <v>Owned in personal names, 1.25, Fixed for 5 or more years, =&lt;65%</v>
      </c>
      <c r="F4" s="9">
        <f>MAX(4%,'Single Account FA '!$D$9+0%)</f>
        <v>0.04</v>
      </c>
    </row>
    <row r="5" spans="1:6" x14ac:dyDescent="0.35">
      <c r="A5" s="24" t="str">
        <f>'SA Validation'!$A$15</f>
        <v>Owned in personal names</v>
      </c>
      <c r="B5" s="111">
        <v>1.25</v>
      </c>
      <c r="C5" s="24" t="str">
        <f>'SA Validation'!$A$4</f>
        <v>Fixed for 5 or more years</v>
      </c>
      <c r="D5" s="151" t="str">
        <f>'SA Validation'!$A$53</f>
        <v>&gt;65%</v>
      </c>
      <c r="E5" s="158" t="str">
        <f t="shared" si="1"/>
        <v>Owned in personal names, 1.25, Fixed for 5 or more years, &gt;65%</v>
      </c>
      <c r="F5" s="123">
        <f>MAX(4.5%,'Single Account FA '!$D$9+0%)</f>
        <v>4.4999999999999998E-2</v>
      </c>
    </row>
    <row r="6" spans="1:6" x14ac:dyDescent="0.35">
      <c r="A6" s="24" t="str">
        <f>'SA Validation'!$A$15</f>
        <v>Owned in personal names</v>
      </c>
      <c r="B6" s="111">
        <v>1.25</v>
      </c>
      <c r="C6" s="24" t="str">
        <f>'SA Validation'!$A$5</f>
        <v>Tracker or Variable</v>
      </c>
      <c r="D6" s="151" t="str">
        <f>'SA Validation'!$A$52</f>
        <v>=&lt;65%</v>
      </c>
      <c r="E6" s="158" t="str">
        <f t="shared" si="1"/>
        <v>Owned in personal names, 1.25, Tracker or Variable, =&lt;65%</v>
      </c>
      <c r="F6" s="123">
        <f>MAX(5.5%,'Single Account FA '!$D$9+2%)</f>
        <v>5.5E-2</v>
      </c>
    </row>
    <row r="7" spans="1:6" ht="15" thickBot="1" x14ac:dyDescent="0.4">
      <c r="A7" s="24" t="str">
        <f>'SA Validation'!$A$15</f>
        <v>Owned in personal names</v>
      </c>
      <c r="B7" s="111">
        <v>1.25</v>
      </c>
      <c r="C7" s="24" t="str">
        <f>'SA Validation'!$A$5</f>
        <v>Tracker or Variable</v>
      </c>
      <c r="D7" s="151" t="str">
        <f>'SA Validation'!$A$53</f>
        <v>&gt;65%</v>
      </c>
      <c r="E7" s="45" t="str">
        <f t="shared" si="1"/>
        <v>Owned in personal names, 1.25, Tracker or Variable, &gt;65%</v>
      </c>
      <c r="F7" s="12">
        <f>MAX(5.5%,'Single Account FA '!$D$9+2%)</f>
        <v>5.5E-2</v>
      </c>
    </row>
    <row r="8" spans="1:6" x14ac:dyDescent="0.35">
      <c r="A8" s="23" t="str">
        <f>'SA Validation'!$A$15</f>
        <v>Owned in personal names</v>
      </c>
      <c r="B8" s="110">
        <v>1.6</v>
      </c>
      <c r="C8" s="23" t="str">
        <f>'SA Validation'!$A$3</f>
        <v>Fixed for less than 5 years</v>
      </c>
      <c r="D8" s="26" t="str">
        <f>'SA Validation'!$A$52</f>
        <v>=&lt;65%</v>
      </c>
      <c r="E8" s="46" t="str">
        <f t="shared" si="1"/>
        <v>Owned in personal names, 1.6, Fixed for less than 5 years, =&lt;65%</v>
      </c>
      <c r="F8" s="8">
        <f>MAX(5.5%,'Single Account FA '!$D$9+2%)</f>
        <v>5.5E-2</v>
      </c>
    </row>
    <row r="9" spans="1:6" x14ac:dyDescent="0.35">
      <c r="A9" s="52" t="s">
        <v>27</v>
      </c>
      <c r="B9" s="163">
        <v>1.6</v>
      </c>
      <c r="C9" s="52" t="s">
        <v>46</v>
      </c>
      <c r="D9" s="160" t="str">
        <f>'SA Validation'!$A$53</f>
        <v>&gt;65%</v>
      </c>
      <c r="E9" s="158" t="str">
        <f t="shared" si="1"/>
        <v>Owned in personal names, 1.6, Fixed for less than 5 years, &gt;65%</v>
      </c>
      <c r="F9" s="161">
        <f>MAX(5.5%,'Single Account FA '!$D$9+2%)</f>
        <v>5.5E-2</v>
      </c>
    </row>
    <row r="10" spans="1:6" x14ac:dyDescent="0.35">
      <c r="A10" s="24" t="str">
        <f>'SA Validation'!$A$15</f>
        <v>Owned in personal names</v>
      </c>
      <c r="B10" s="111">
        <v>1.6</v>
      </c>
      <c r="C10" s="24" t="str">
        <f>'SA Validation'!$A$4</f>
        <v>Fixed for 5 or more years</v>
      </c>
      <c r="D10" s="151" t="str">
        <f>'SA Validation'!$A$52</f>
        <v>=&lt;65%</v>
      </c>
      <c r="E10" s="45" t="str">
        <f t="shared" si="1"/>
        <v>Owned in personal names, 1.6, Fixed for 5 or more years, =&lt;65%</v>
      </c>
      <c r="F10" s="9">
        <f>MAX(4%,'Single Account FA '!$D$9+0%)</f>
        <v>0.04</v>
      </c>
    </row>
    <row r="11" spans="1:6" x14ac:dyDescent="0.35">
      <c r="A11" s="24" t="str">
        <f>'SA Validation'!$A$15</f>
        <v>Owned in personal names</v>
      </c>
      <c r="B11" s="111">
        <v>1.6</v>
      </c>
      <c r="C11" s="24" t="str">
        <f>'SA Validation'!$A$4</f>
        <v>Fixed for 5 or more years</v>
      </c>
      <c r="D11" s="151" t="str">
        <f>'SA Validation'!$A$53</f>
        <v>&gt;65%</v>
      </c>
      <c r="E11" s="122" t="str">
        <f t="shared" si="1"/>
        <v>Owned in personal names, 1.6, Fixed for 5 or more years, &gt;65%</v>
      </c>
      <c r="F11" s="123">
        <f>MAX(4.5%,'Single Account FA '!$D$9+0%)</f>
        <v>4.4999999999999998E-2</v>
      </c>
    </row>
    <row r="12" spans="1:6" x14ac:dyDescent="0.35">
      <c r="A12" s="120" t="str">
        <f>'SA Validation'!$A$15</f>
        <v>Owned in personal names</v>
      </c>
      <c r="B12" s="121">
        <v>1.6</v>
      </c>
      <c r="C12" s="120" t="str">
        <f>'SA Validation'!$A$5</f>
        <v>Tracker or Variable</v>
      </c>
      <c r="D12" s="152" t="str">
        <f>'SA Validation'!$A$52</f>
        <v>=&lt;65%</v>
      </c>
      <c r="E12" s="122" t="str">
        <f t="shared" ref="E12:E13" si="2">CONCATENATE(A12,", ",B12,", ",C12,", ",D12)</f>
        <v>Owned in personal names, 1.6, Tracker or Variable, =&lt;65%</v>
      </c>
      <c r="F12" s="123">
        <f>MAX(5.5%,'Single Account FA '!$D$9+2%)</f>
        <v>5.5E-2</v>
      </c>
    </row>
    <row r="13" spans="1:6" ht="15" thickBot="1" x14ac:dyDescent="0.4">
      <c r="A13" s="120" t="str">
        <f>'SA Validation'!$A$15</f>
        <v>Owned in personal names</v>
      </c>
      <c r="B13" s="121">
        <v>1.6</v>
      </c>
      <c r="C13" s="120" t="str">
        <f>'SA Validation'!$A$5</f>
        <v>Tracker or Variable</v>
      </c>
      <c r="D13" s="152" t="str">
        <f>'SA Validation'!$A$53</f>
        <v>&gt;65%</v>
      </c>
      <c r="E13" s="122" t="str">
        <f t="shared" si="2"/>
        <v>Owned in personal names, 1.6, Tracker or Variable, &gt;65%</v>
      </c>
      <c r="F13" s="12">
        <f>MAX(5.5%,'Single Account FA '!$D$9+2%)</f>
        <v>5.5E-2</v>
      </c>
    </row>
    <row r="14" spans="1:6" x14ac:dyDescent="0.35">
      <c r="A14" s="23" t="str">
        <f>'SA Validation'!$A$15</f>
        <v>Owned in personal names</v>
      </c>
      <c r="B14" s="110">
        <v>1.75</v>
      </c>
      <c r="C14" s="23" t="str">
        <f>'SA Validation'!$A$3</f>
        <v>Fixed for less than 5 years</v>
      </c>
      <c r="D14" s="26" t="str">
        <f>'SA Validation'!$A$52</f>
        <v>=&lt;65%</v>
      </c>
      <c r="E14" s="46" t="str">
        <f t="shared" ref="E14:E15" si="3">CONCATENATE(A14,", ",B14,", ",C14,", ",D14)</f>
        <v>Owned in personal names, 1.75, Fixed for less than 5 years, =&lt;65%</v>
      </c>
      <c r="F14" s="8">
        <f>MAX(5.5%,'Single Account FA '!$D$9+2%)</f>
        <v>5.5E-2</v>
      </c>
    </row>
    <row r="15" spans="1:6" x14ac:dyDescent="0.35">
      <c r="A15" s="52" t="s">
        <v>27</v>
      </c>
      <c r="B15" s="163">
        <v>1.75</v>
      </c>
      <c r="C15" s="52" t="s">
        <v>46</v>
      </c>
      <c r="D15" s="160" t="str">
        <f>'SA Validation'!$A$53</f>
        <v>&gt;65%</v>
      </c>
      <c r="E15" s="158" t="str">
        <f t="shared" si="3"/>
        <v>Owned in personal names, 1.75, Fixed for less than 5 years, &gt;65%</v>
      </c>
      <c r="F15" s="161">
        <f>MAX(5.5%,'Single Account FA '!$D$9+2%)</f>
        <v>5.5E-2</v>
      </c>
    </row>
    <row r="16" spans="1:6" x14ac:dyDescent="0.35">
      <c r="A16" s="24" t="str">
        <f>'SA Validation'!$A$15</f>
        <v>Owned in personal names</v>
      </c>
      <c r="B16" s="111">
        <v>1.75</v>
      </c>
      <c r="C16" s="24" t="str">
        <f>'SA Validation'!$A$4</f>
        <v>Fixed for 5 or more years</v>
      </c>
      <c r="D16" s="151" t="str">
        <f>'SA Validation'!$A$52</f>
        <v>=&lt;65%</v>
      </c>
      <c r="E16" s="45" t="str">
        <f>CONCATENATE(A16,", ",B16,", ",C16,", ",D16)</f>
        <v>Owned in personal names, 1.75, Fixed for 5 or more years, =&lt;65%</v>
      </c>
      <c r="F16" s="9">
        <f>MAX(4%,'Single Account FA '!$D$9+0%)</f>
        <v>0.04</v>
      </c>
    </row>
    <row r="17" spans="1:6" x14ac:dyDescent="0.35">
      <c r="A17" s="24" t="str">
        <f>'SA Validation'!$A$15</f>
        <v>Owned in personal names</v>
      </c>
      <c r="B17" s="111">
        <v>1.75</v>
      </c>
      <c r="C17" s="24" t="str">
        <f>'SA Validation'!$A$4</f>
        <v>Fixed for 5 or more years</v>
      </c>
      <c r="D17" s="151" t="str">
        <f>'SA Validation'!$A$53</f>
        <v>&gt;65%</v>
      </c>
      <c r="E17" s="122" t="str">
        <f>CONCATENATE(A17,", ",B17,", ",C17,", ",D17)</f>
        <v>Owned in personal names, 1.75, Fixed for 5 or more years, &gt;65%</v>
      </c>
      <c r="F17" s="123">
        <f>MAX(4.5%,'Single Account FA '!$D$9+0%)</f>
        <v>4.4999999999999998E-2</v>
      </c>
    </row>
    <row r="18" spans="1:6" x14ac:dyDescent="0.35">
      <c r="A18" s="120" t="str">
        <f>'SA Validation'!$A$15</f>
        <v>Owned in personal names</v>
      </c>
      <c r="B18" s="121">
        <v>1.75</v>
      </c>
      <c r="C18" s="120" t="str">
        <f>'SA Validation'!$A$5</f>
        <v>Tracker or Variable</v>
      </c>
      <c r="D18" s="152" t="str">
        <f>'SA Validation'!$A$52</f>
        <v>=&lt;65%</v>
      </c>
      <c r="E18" s="122" t="str">
        <f>CONCATENATE(A18,", ",B18,", ",C18,", ",D18)</f>
        <v>Owned in personal names, 1.75, Tracker or Variable, =&lt;65%</v>
      </c>
      <c r="F18" s="123">
        <f>MAX(5.5%,'Single Account FA '!$D$9+2%)</f>
        <v>5.5E-2</v>
      </c>
    </row>
    <row r="19" spans="1:6" ht="15" thickBot="1" x14ac:dyDescent="0.4">
      <c r="A19" s="25" t="str">
        <f>'SA Validation'!$A$15</f>
        <v>Owned in personal names</v>
      </c>
      <c r="B19" s="112">
        <v>1.75</v>
      </c>
      <c r="C19" s="25" t="str">
        <f>'SA Validation'!$A$5</f>
        <v>Tracker or Variable</v>
      </c>
      <c r="D19" s="21" t="str">
        <f>'SA Validation'!$A$53</f>
        <v>&gt;65%</v>
      </c>
      <c r="E19" s="47" t="str">
        <f>CONCATENATE(A19,", ",B19,", ",C19,", ",D19)</f>
        <v>Owned in personal names, 1.75, Tracker or Variable, &gt;65%</v>
      </c>
      <c r="F19" s="12">
        <f>MAX(5.5%,'Single Account FA '!$D$9+2%)</f>
        <v>5.5E-2</v>
      </c>
    </row>
    <row r="20" spans="1:6" x14ac:dyDescent="0.35">
      <c r="A20" s="23" t="str">
        <f>'SA Validation'!$A$16</f>
        <v>Owned in a Limited Company</v>
      </c>
      <c r="B20" s="110">
        <v>1.25</v>
      </c>
      <c r="C20" s="23" t="str">
        <f>'SA Validation'!$A$3</f>
        <v>Fixed for less than 5 years</v>
      </c>
      <c r="D20" s="26" t="str">
        <f>'SA Validation'!$A$52</f>
        <v>=&lt;65%</v>
      </c>
      <c r="E20" s="46" t="str">
        <f t="shared" ref="E20:E31" si="4">CONCATENATE(A20,", ",B20,", ",C20,", ",D20)</f>
        <v>Owned in a Limited Company, 1.25, Fixed for less than 5 years, =&lt;65%</v>
      </c>
      <c r="F20" s="8">
        <f>MAX(5.5%,'Single Account FA '!$D$9+2%)</f>
        <v>5.5E-2</v>
      </c>
    </row>
    <row r="21" spans="1:6" x14ac:dyDescent="0.35">
      <c r="A21" s="52" t="s">
        <v>57</v>
      </c>
      <c r="B21" s="163">
        <v>1.25</v>
      </c>
      <c r="C21" s="52" t="str">
        <f>'SA Validation'!$A$3</f>
        <v>Fixed for less than 5 years</v>
      </c>
      <c r="D21" s="160" t="str">
        <f>'SA Validation'!$A$53</f>
        <v>&gt;65%</v>
      </c>
      <c r="E21" s="158" t="str">
        <f t="shared" si="4"/>
        <v>Owned in a Limited Company, 1.25, Fixed for less than 5 years, &gt;65%</v>
      </c>
      <c r="F21" s="161">
        <f>MAX(5.5%,'Single Account FA '!$D$9+2%)</f>
        <v>5.5E-2</v>
      </c>
    </row>
    <row r="22" spans="1:6" x14ac:dyDescent="0.35">
      <c r="A22" s="24" t="s">
        <v>57</v>
      </c>
      <c r="B22" s="111">
        <v>1.25</v>
      </c>
      <c r="C22" s="24" t="str">
        <f>'SA Validation'!$A$4</f>
        <v>Fixed for 5 or more years</v>
      </c>
      <c r="D22" s="151" t="str">
        <f>'SA Validation'!$A$52</f>
        <v>=&lt;65%</v>
      </c>
      <c r="E22" s="45" t="str">
        <f t="shared" si="4"/>
        <v>Owned in a Limited Company, 1.25, Fixed for 5 or more years, =&lt;65%</v>
      </c>
      <c r="F22" s="9">
        <f>MAX(4.5%,'Single Account FA '!$D$9+0%)</f>
        <v>4.4999999999999998E-2</v>
      </c>
    </row>
    <row r="23" spans="1:6" x14ac:dyDescent="0.35">
      <c r="A23" s="120" t="s">
        <v>57</v>
      </c>
      <c r="B23" s="121">
        <v>1.25</v>
      </c>
      <c r="C23" s="120" t="str">
        <f>'SA Validation'!$A$4</f>
        <v>Fixed for 5 or more years</v>
      </c>
      <c r="D23" s="152" t="str">
        <f>'SA Validation'!$A$53</f>
        <v>&gt;65%</v>
      </c>
      <c r="E23" s="122" t="str">
        <f t="shared" si="4"/>
        <v>Owned in a Limited Company, 1.25, Fixed for 5 or more years, &gt;65%</v>
      </c>
      <c r="F23" s="123">
        <f>MAX(4.5%,'Single Account FA '!$D$9+0%)</f>
        <v>4.4999999999999998E-2</v>
      </c>
    </row>
    <row r="24" spans="1:6" x14ac:dyDescent="0.35">
      <c r="A24" s="120" t="s">
        <v>57</v>
      </c>
      <c r="B24" s="121">
        <v>1.25</v>
      </c>
      <c r="C24" s="120" t="str">
        <f>'SA Validation'!$A$5</f>
        <v>Tracker or Variable</v>
      </c>
      <c r="D24" s="152" t="str">
        <f>'SA Validation'!$A$52</f>
        <v>=&lt;65%</v>
      </c>
      <c r="E24" s="122" t="str">
        <f t="shared" si="4"/>
        <v>Owned in a Limited Company, 1.25, Tracker or Variable, =&lt;65%</v>
      </c>
      <c r="F24" s="123">
        <f>MAX(5.5%,'Single Account FA '!$D$9+2%)</f>
        <v>5.5E-2</v>
      </c>
    </row>
    <row r="25" spans="1:6" ht="15" thickBot="1" x14ac:dyDescent="0.4">
      <c r="A25" s="25" t="s">
        <v>57</v>
      </c>
      <c r="B25" s="112">
        <v>1.25</v>
      </c>
      <c r="C25" s="25" t="str">
        <f>'SA Validation'!$A$5</f>
        <v>Tracker or Variable</v>
      </c>
      <c r="D25" s="21" t="str">
        <f>'SA Validation'!$A$53</f>
        <v>&gt;65%</v>
      </c>
      <c r="E25" s="47" t="str">
        <f t="shared" si="4"/>
        <v>Owned in a Limited Company, 1.25, Tracker or Variable, &gt;65%</v>
      </c>
      <c r="F25" s="12">
        <f>MAX(5.5%,'Single Account FA '!$D$9+2%)</f>
        <v>5.5E-2</v>
      </c>
    </row>
    <row r="26" spans="1:6" x14ac:dyDescent="0.35">
      <c r="A26" s="23" t="s">
        <v>57</v>
      </c>
      <c r="B26" s="110">
        <v>1.75</v>
      </c>
      <c r="C26" s="23" t="str">
        <f>'SA Validation'!$A$3</f>
        <v>Fixed for less than 5 years</v>
      </c>
      <c r="D26" s="26" t="str">
        <f>'SA Validation'!$A$52</f>
        <v>=&lt;65%</v>
      </c>
      <c r="E26" s="46" t="str">
        <f t="shared" si="4"/>
        <v>Owned in a Limited Company, 1.75, Fixed for less than 5 years, =&lt;65%</v>
      </c>
      <c r="F26" s="8">
        <f>MAX(5.5%,'Single Account FA '!$D$9+2%)</f>
        <v>5.5E-2</v>
      </c>
    </row>
    <row r="27" spans="1:6" x14ac:dyDescent="0.35">
      <c r="A27" s="52" t="s">
        <v>57</v>
      </c>
      <c r="B27" s="163">
        <v>1.75</v>
      </c>
      <c r="C27" s="52" t="str">
        <f>'SA Validation'!$A$3</f>
        <v>Fixed for less than 5 years</v>
      </c>
      <c r="D27" s="160" t="str">
        <f>'SA Validation'!$A$53</f>
        <v>&gt;65%</v>
      </c>
      <c r="E27" s="158" t="str">
        <f t="shared" si="4"/>
        <v>Owned in a Limited Company, 1.75, Fixed for less than 5 years, &gt;65%</v>
      </c>
      <c r="F27" s="161">
        <f>MAX(5.5%,'Single Account FA '!$D$9+2%)</f>
        <v>5.5E-2</v>
      </c>
    </row>
    <row r="28" spans="1:6" x14ac:dyDescent="0.35">
      <c r="A28" s="24" t="s">
        <v>57</v>
      </c>
      <c r="B28" s="111">
        <v>1.75</v>
      </c>
      <c r="C28" s="24" t="str">
        <f>'SA Validation'!$A$4</f>
        <v>Fixed for 5 or more years</v>
      </c>
      <c r="D28" s="151" t="str">
        <f>'SA Validation'!$A$52</f>
        <v>=&lt;65%</v>
      </c>
      <c r="E28" s="45" t="str">
        <f t="shared" si="4"/>
        <v>Owned in a Limited Company, 1.75, Fixed for 5 or more years, =&lt;65%</v>
      </c>
      <c r="F28" s="9">
        <f>MAX(4.5%,'Single Account FA '!$D$9+0%)</f>
        <v>4.4999999999999998E-2</v>
      </c>
    </row>
    <row r="29" spans="1:6" x14ac:dyDescent="0.35">
      <c r="A29" s="120" t="s">
        <v>57</v>
      </c>
      <c r="B29" s="121">
        <v>1.75</v>
      </c>
      <c r="C29" s="120" t="str">
        <f>'SA Validation'!$A$4</f>
        <v>Fixed for 5 or more years</v>
      </c>
      <c r="D29" s="152" t="str">
        <f>'SA Validation'!$A$53</f>
        <v>&gt;65%</v>
      </c>
      <c r="E29" s="122" t="str">
        <f t="shared" si="4"/>
        <v>Owned in a Limited Company, 1.75, Fixed for 5 or more years, &gt;65%</v>
      </c>
      <c r="F29" s="123">
        <f>MAX(4.5%,'Single Account FA '!$D$9+0%)</f>
        <v>4.4999999999999998E-2</v>
      </c>
    </row>
    <row r="30" spans="1:6" x14ac:dyDescent="0.35">
      <c r="A30" s="120" t="s">
        <v>57</v>
      </c>
      <c r="B30" s="121">
        <v>1.75</v>
      </c>
      <c r="C30" s="120" t="str">
        <f>'SA Validation'!$A$5</f>
        <v>Tracker or Variable</v>
      </c>
      <c r="D30" s="152" t="str">
        <f>'SA Validation'!$A$52</f>
        <v>=&lt;65%</v>
      </c>
      <c r="E30" s="122" t="str">
        <f t="shared" si="4"/>
        <v>Owned in a Limited Company, 1.75, Tracker or Variable, =&lt;65%</v>
      </c>
      <c r="F30" s="123">
        <f>MAX(5.5%,'Single Account FA '!$D$9+2%)</f>
        <v>5.5E-2</v>
      </c>
    </row>
    <row r="31" spans="1:6" ht="15" thickBot="1" x14ac:dyDescent="0.4">
      <c r="A31" s="25" t="s">
        <v>57</v>
      </c>
      <c r="B31" s="112">
        <v>1.75</v>
      </c>
      <c r="C31" s="25" t="str">
        <f>'SA Validation'!$A$5</f>
        <v>Tracker or Variable</v>
      </c>
      <c r="D31" s="21" t="str">
        <f>'SA Validation'!$A$53</f>
        <v>&gt;65%</v>
      </c>
      <c r="E31" s="47" t="str">
        <f t="shared" si="4"/>
        <v>Owned in a Limited Company, 1.75, Tracker or Variable, &gt;65%</v>
      </c>
      <c r="F31" s="12">
        <f>MAX(5.5%,'Single Account FA '!$D$9+2%)</f>
        <v>5.5E-2</v>
      </c>
    </row>
  </sheetData>
  <autoFilter ref="A1:F31" xr:uid="{0A57DFB6-3DEA-4360-83AF-99F3338210D9}"/>
  <pageMargins left="0.7" right="0.7" top="0.75" bottom="0.75" header="0.3" footer="0.3"/>
  <pageSetup paperSize="9" orientation="portrait" r:id="rId1"/>
  <headerFooter>
    <oddHeader>&amp;L&amp;"Calibri"&amp;10&amp;K77b80dNBS Public&amp;1#</oddHeader>
    <oddFooter>&amp;L&amp;1#&amp;"Calibri"&amp;10&amp;K77b80dNBS Public</oddFooter>
  </headerFooter>
  <ignoredErrors>
    <ignoredError sqref="D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07AE-D7A8-4711-AE9A-9625103AD3E3}">
  <sheetPr>
    <tabColor rgb="FFFF0000"/>
  </sheetPr>
  <dimension ref="A1:F31"/>
  <sheetViews>
    <sheetView zoomScale="70" zoomScaleNormal="70" workbookViewId="0">
      <selection activeCell="F32" sqref="F32"/>
    </sheetView>
  </sheetViews>
  <sheetFormatPr defaultRowHeight="14.5" x14ac:dyDescent="0.35"/>
  <cols>
    <col min="1" max="1" width="30.453125" customWidth="1"/>
    <col min="2" max="2" width="30.453125" style="108" customWidth="1"/>
    <col min="3" max="4" width="31.54296875" customWidth="1"/>
    <col min="5" max="5" width="74.1796875" style="16" customWidth="1"/>
    <col min="6" max="6" width="15.54296875" style="4" customWidth="1"/>
  </cols>
  <sheetData>
    <row r="1" spans="1:6" ht="15" thickBot="1" x14ac:dyDescent="0.4">
      <c r="A1" s="114" t="s">
        <v>72</v>
      </c>
      <c r="B1" s="115" t="s">
        <v>9</v>
      </c>
      <c r="C1" s="119" t="s">
        <v>73</v>
      </c>
      <c r="D1" s="153" t="s">
        <v>74</v>
      </c>
      <c r="E1" s="48" t="s">
        <v>75</v>
      </c>
      <c r="F1" s="11" t="s">
        <v>76</v>
      </c>
    </row>
    <row r="2" spans="1:6" x14ac:dyDescent="0.35">
      <c r="A2" s="18" t="s">
        <v>27</v>
      </c>
      <c r="B2" s="116">
        <v>1.25</v>
      </c>
      <c r="C2" s="23" t="s">
        <v>46</v>
      </c>
      <c r="D2" s="26" t="str">
        <f>'SA Validation'!$A$52</f>
        <v>=&lt;65%</v>
      </c>
      <c r="E2" s="46" t="str">
        <f t="shared" ref="E2:E3" si="0">CONCATENATE(A2,", ",B2,", ",C2,", ",D2)</f>
        <v>Owned in personal names, 1.25, Fixed for less than 5 years, =&lt;65%</v>
      </c>
      <c r="F2" s="8">
        <f>MAX(5.5%,'Single Account FA '!$D$19+2%)</f>
        <v>5.5E-2</v>
      </c>
    </row>
    <row r="3" spans="1:6" x14ac:dyDescent="0.35">
      <c r="A3" s="164" t="str">
        <f>'SA Validation'!$A$15</f>
        <v>Owned in personal names</v>
      </c>
      <c r="B3" s="159">
        <v>1.25</v>
      </c>
      <c r="C3" s="52" t="str">
        <f>'SA Validation'!$A$3</f>
        <v>Fixed for less than 5 years</v>
      </c>
      <c r="D3" s="160" t="str">
        <f>'SA Validation'!$A$53</f>
        <v>&gt;65%</v>
      </c>
      <c r="E3" s="158" t="str">
        <f t="shared" si="0"/>
        <v>Owned in personal names, 1.25, Fixed for less than 5 years, &gt;65%</v>
      </c>
      <c r="F3" s="161">
        <f>MAX(5.5%,'Single Account FA '!$D$19+2%)</f>
        <v>5.5E-2</v>
      </c>
    </row>
    <row r="4" spans="1:6" x14ac:dyDescent="0.35">
      <c r="A4" s="19" t="str">
        <f>'SA Validation'!$A$15</f>
        <v>Owned in personal names</v>
      </c>
      <c r="B4" s="117">
        <v>1.25</v>
      </c>
      <c r="C4" s="24" t="str">
        <f>'SA Validation'!$A$4</f>
        <v>Fixed for 5 or more years</v>
      </c>
      <c r="D4" s="151" t="str">
        <f>'SA Validation'!$A$52</f>
        <v>=&lt;65%</v>
      </c>
      <c r="E4" s="45" t="str">
        <f t="shared" ref="E4:E11" si="1">CONCATENATE(A4,", ",B4,", ",C4,", ",D4)</f>
        <v>Owned in personal names, 1.25, Fixed for 5 or more years, =&lt;65%</v>
      </c>
      <c r="F4" s="9">
        <f>MAX(4%,'Single Account FA '!$D$19+0%)</f>
        <v>0.04</v>
      </c>
    </row>
    <row r="5" spans="1:6" x14ac:dyDescent="0.35">
      <c r="A5" s="19" t="str">
        <f>'SA Validation'!$A$15</f>
        <v>Owned in personal names</v>
      </c>
      <c r="B5" s="117">
        <v>1.25</v>
      </c>
      <c r="C5" s="24" t="str">
        <f>'SA Validation'!$A$4</f>
        <v>Fixed for 5 or more years</v>
      </c>
      <c r="D5" s="151" t="str">
        <f>'SA Validation'!$A$53</f>
        <v>&gt;65%</v>
      </c>
      <c r="E5" s="45" t="str">
        <f t="shared" si="1"/>
        <v>Owned in personal names, 1.25, Fixed for 5 or more years, &gt;65%</v>
      </c>
      <c r="F5" s="9">
        <f>MAX(4.5%,'Single Account FA '!$D$19+0%)</f>
        <v>4.4999999999999998E-2</v>
      </c>
    </row>
    <row r="6" spans="1:6" x14ac:dyDescent="0.35">
      <c r="A6" s="19" t="str">
        <f>'SA Validation'!$A$15</f>
        <v>Owned in personal names</v>
      </c>
      <c r="B6" s="117">
        <v>1.25</v>
      </c>
      <c r="C6" s="24" t="str">
        <f>'SA Validation'!$A$5</f>
        <v>Tracker or Variable</v>
      </c>
      <c r="D6" s="151" t="str">
        <f>'SA Validation'!$A$52</f>
        <v>=&lt;65%</v>
      </c>
      <c r="E6" s="45" t="str">
        <f t="shared" si="1"/>
        <v>Owned in personal names, 1.25, Tracker or Variable, =&lt;65%</v>
      </c>
      <c r="F6" s="9">
        <f>MAX(5.5%,'Single Account FA '!$D$19+2%)</f>
        <v>5.5E-2</v>
      </c>
    </row>
    <row r="7" spans="1:6" ht="15" thickBot="1" x14ac:dyDescent="0.4">
      <c r="A7" s="19" t="str">
        <f>'SA Validation'!$A$15</f>
        <v>Owned in personal names</v>
      </c>
      <c r="B7" s="117">
        <v>1.25</v>
      </c>
      <c r="C7" s="24" t="str">
        <f>'SA Validation'!$A$5</f>
        <v>Tracker or Variable</v>
      </c>
      <c r="D7" s="151" t="str">
        <f>'SA Validation'!$A$53</f>
        <v>&gt;65%</v>
      </c>
      <c r="E7" s="45" t="str">
        <f t="shared" si="1"/>
        <v>Owned in personal names, 1.25, Tracker or Variable, &gt;65%</v>
      </c>
      <c r="F7" s="9">
        <f>MAX(5.5%,'Single Account FA '!$D$19+2%)</f>
        <v>5.5E-2</v>
      </c>
    </row>
    <row r="8" spans="1:6" x14ac:dyDescent="0.35">
      <c r="A8" s="18" t="str">
        <f>'SA Validation'!$A$15</f>
        <v>Owned in personal names</v>
      </c>
      <c r="B8" s="116">
        <v>1.6</v>
      </c>
      <c r="C8" s="23" t="str">
        <f>'SA Validation'!$A$3</f>
        <v>Fixed for less than 5 years</v>
      </c>
      <c r="D8" s="26" t="str">
        <f>'SA Validation'!$A$52</f>
        <v>=&lt;65%</v>
      </c>
      <c r="E8" s="46" t="str">
        <f t="shared" si="1"/>
        <v>Owned in personal names, 1.6, Fixed for less than 5 years, =&lt;65%</v>
      </c>
      <c r="F8" s="8">
        <f>MAX(5.5%,'Single Account FA '!$D$19+2%)</f>
        <v>5.5E-2</v>
      </c>
    </row>
    <row r="9" spans="1:6" x14ac:dyDescent="0.35">
      <c r="A9" s="164" t="s">
        <v>27</v>
      </c>
      <c r="B9" s="159">
        <v>1.6</v>
      </c>
      <c r="C9" s="52" t="s">
        <v>46</v>
      </c>
      <c r="D9" s="160" t="str">
        <f>'SA Validation'!$A$53</f>
        <v>&gt;65%</v>
      </c>
      <c r="E9" s="158" t="str">
        <f t="shared" si="1"/>
        <v>Owned in personal names, 1.6, Fixed for less than 5 years, &gt;65%</v>
      </c>
      <c r="F9" s="161">
        <f>MAX(5.5%,'Single Account FA '!$D$19+2%)</f>
        <v>5.5E-2</v>
      </c>
    </row>
    <row r="10" spans="1:6" x14ac:dyDescent="0.35">
      <c r="A10" s="19" t="str">
        <f>'SA Validation'!$A$15</f>
        <v>Owned in personal names</v>
      </c>
      <c r="B10" s="117">
        <v>1.6</v>
      </c>
      <c r="C10" s="24" t="str">
        <f>'SA Validation'!$A$4</f>
        <v>Fixed for 5 or more years</v>
      </c>
      <c r="D10" s="160" t="str">
        <f>'SA Validation'!$A$52</f>
        <v>=&lt;65%</v>
      </c>
      <c r="E10" s="158" t="str">
        <f t="shared" si="1"/>
        <v>Owned in personal names, 1.6, Fixed for 5 or more years, =&lt;65%</v>
      </c>
      <c r="F10" s="161">
        <f>MAX(4%,'Single Account FA '!$D$19+0%)</f>
        <v>0.04</v>
      </c>
    </row>
    <row r="11" spans="1:6" x14ac:dyDescent="0.35">
      <c r="A11" s="19" t="str">
        <f>'SA Validation'!$A$15</f>
        <v>Owned in personal names</v>
      </c>
      <c r="B11" s="117">
        <v>1.6</v>
      </c>
      <c r="C11" s="24" t="str">
        <f>'SA Validation'!$A$4</f>
        <v>Fixed for 5 or more years</v>
      </c>
      <c r="D11" s="151" t="str">
        <f>'SA Validation'!$A$53</f>
        <v>&gt;65%</v>
      </c>
      <c r="E11" s="45" t="str">
        <f t="shared" si="1"/>
        <v>Owned in personal names, 1.6, Fixed for 5 or more years, &gt;65%</v>
      </c>
      <c r="F11" s="9">
        <f>MAX(4.5%,'Single Account FA '!$D$19+0%)</f>
        <v>4.4999999999999998E-2</v>
      </c>
    </row>
    <row r="12" spans="1:6" x14ac:dyDescent="0.35">
      <c r="A12" s="22" t="str">
        <f>'SA Validation'!$A$15</f>
        <v>Owned in personal names</v>
      </c>
      <c r="B12" s="124">
        <v>1.6</v>
      </c>
      <c r="C12" s="120" t="str">
        <f>'SA Validation'!$A$5</f>
        <v>Tracker or Variable</v>
      </c>
      <c r="D12" s="152" t="str">
        <f>'SA Validation'!$A$52</f>
        <v>=&lt;65%</v>
      </c>
      <c r="E12" s="122" t="str">
        <f t="shared" ref="E12:E15" si="2">CONCATENATE(A12,", ",B12,", ",C12,", ",D12)</f>
        <v>Owned in personal names, 1.6, Tracker or Variable, =&lt;65%</v>
      </c>
      <c r="F12" s="123">
        <f>MAX(5.5%,'Single Account FA '!$D$19+2%)</f>
        <v>5.5E-2</v>
      </c>
    </row>
    <row r="13" spans="1:6" ht="15" thickBot="1" x14ac:dyDescent="0.4">
      <c r="A13" s="22" t="str">
        <f>'SA Validation'!$A$15</f>
        <v>Owned in personal names</v>
      </c>
      <c r="B13" s="124">
        <v>1.6</v>
      </c>
      <c r="C13" s="120" t="str">
        <f>'SA Validation'!$A$5</f>
        <v>Tracker or Variable</v>
      </c>
      <c r="D13" s="152" t="str">
        <f>'SA Validation'!$A$53</f>
        <v>&gt;65%</v>
      </c>
      <c r="E13" s="122" t="str">
        <f t="shared" si="2"/>
        <v>Owned in personal names, 1.6, Tracker or Variable, &gt;65%</v>
      </c>
      <c r="F13" s="123">
        <f>MAX(5.5%,'Single Account FA '!$D$19+2%)</f>
        <v>5.5E-2</v>
      </c>
    </row>
    <row r="14" spans="1:6" x14ac:dyDescent="0.35">
      <c r="A14" s="18" t="str">
        <f>'SA Validation'!$A$15</f>
        <v>Owned in personal names</v>
      </c>
      <c r="B14" s="116">
        <v>1.75</v>
      </c>
      <c r="C14" s="23" t="str">
        <f>'SA Validation'!$A$3</f>
        <v>Fixed for less than 5 years</v>
      </c>
      <c r="D14" s="26" t="str">
        <f>'SA Validation'!$A$52</f>
        <v>=&lt;65%</v>
      </c>
      <c r="E14" s="46" t="str">
        <f t="shared" si="2"/>
        <v>Owned in personal names, 1.75, Fixed for less than 5 years, =&lt;65%</v>
      </c>
      <c r="F14" s="8">
        <f>MAX(5.5%,'Single Account FA '!$D$19+2%)</f>
        <v>5.5E-2</v>
      </c>
    </row>
    <row r="15" spans="1:6" x14ac:dyDescent="0.35">
      <c r="A15" s="164" t="s">
        <v>27</v>
      </c>
      <c r="B15" s="159">
        <v>1.75</v>
      </c>
      <c r="C15" s="52" t="s">
        <v>46</v>
      </c>
      <c r="D15" s="160" t="str">
        <f>'SA Validation'!$A$53</f>
        <v>&gt;65%</v>
      </c>
      <c r="E15" s="158" t="str">
        <f t="shared" si="2"/>
        <v>Owned in personal names, 1.75, Fixed for less than 5 years, &gt;65%</v>
      </c>
      <c r="F15" s="161">
        <f>MAX(5.5%,'Single Account FA '!$D$19+2%)</f>
        <v>5.5E-2</v>
      </c>
    </row>
    <row r="16" spans="1:6" x14ac:dyDescent="0.35">
      <c r="A16" s="19" t="str">
        <f>'SA Validation'!$A$15</f>
        <v>Owned in personal names</v>
      </c>
      <c r="B16" s="117">
        <v>1.75</v>
      </c>
      <c r="C16" s="24" t="str">
        <f>'SA Validation'!$A$4</f>
        <v>Fixed for 5 or more years</v>
      </c>
      <c r="D16" s="160" t="str">
        <f>'SA Validation'!$A$52</f>
        <v>=&lt;65%</v>
      </c>
      <c r="E16" s="158" t="str">
        <f>CONCATENATE(A16,", ",B16,", ",C16,", ",D16)</f>
        <v>Owned in personal names, 1.75, Fixed for 5 or more years, =&lt;65%</v>
      </c>
      <c r="F16" s="161">
        <f>MAX(4%,'Single Account FA '!$D$19+0%)</f>
        <v>0.04</v>
      </c>
    </row>
    <row r="17" spans="1:6" x14ac:dyDescent="0.35">
      <c r="A17" s="19" t="str">
        <f>'SA Validation'!$A$15</f>
        <v>Owned in personal names</v>
      </c>
      <c r="B17" s="117">
        <v>1.75</v>
      </c>
      <c r="C17" s="24" t="str">
        <f>'SA Validation'!$A$4</f>
        <v>Fixed for 5 or more years</v>
      </c>
      <c r="D17" s="151" t="str">
        <f>'SA Validation'!$A$53</f>
        <v>&gt;65%</v>
      </c>
      <c r="E17" s="45" t="str">
        <f>CONCATENATE(A17,", ",B17,", ",C17,", ",D17)</f>
        <v>Owned in personal names, 1.75, Fixed for 5 or more years, &gt;65%</v>
      </c>
      <c r="F17" s="9">
        <f>MAX(4.5%,'Single Account FA '!$D$19+0%)</f>
        <v>4.4999999999999998E-2</v>
      </c>
    </row>
    <row r="18" spans="1:6" x14ac:dyDescent="0.35">
      <c r="A18" s="22" t="str">
        <f>'SA Validation'!$A$15</f>
        <v>Owned in personal names</v>
      </c>
      <c r="B18" s="124">
        <v>1.75</v>
      </c>
      <c r="C18" s="120" t="str">
        <f>'SA Validation'!$A$5</f>
        <v>Tracker or Variable</v>
      </c>
      <c r="D18" s="152" t="str">
        <f>'SA Validation'!$A$52</f>
        <v>=&lt;65%</v>
      </c>
      <c r="E18" s="122" t="str">
        <f>CONCATENATE(A18,", ",B18,", ",C18,", ",D18)</f>
        <v>Owned in personal names, 1.75, Tracker or Variable, =&lt;65%</v>
      </c>
      <c r="F18" s="123">
        <f>MAX(5.5%,'Single Account FA '!$D$19+2%)</f>
        <v>5.5E-2</v>
      </c>
    </row>
    <row r="19" spans="1:6" ht="15" thickBot="1" x14ac:dyDescent="0.4">
      <c r="A19" s="20" t="str">
        <f>'SA Validation'!$A$15</f>
        <v>Owned in personal names</v>
      </c>
      <c r="B19" s="118">
        <v>1.75</v>
      </c>
      <c r="C19" s="25" t="str">
        <f>'SA Validation'!$A$5</f>
        <v>Tracker or Variable</v>
      </c>
      <c r="D19" s="21" t="str">
        <f>'SA Validation'!$A$53</f>
        <v>&gt;65%</v>
      </c>
      <c r="E19" s="47" t="str">
        <f>CONCATENATE(A19,", ",B19,", ",C19,", ",D19)</f>
        <v>Owned in personal names, 1.75, Tracker or Variable, &gt;65%</v>
      </c>
      <c r="F19" s="12">
        <f>MAX(5.5%,'Single Account FA '!$D$19+2%)</f>
        <v>5.5E-2</v>
      </c>
    </row>
    <row r="20" spans="1:6" x14ac:dyDescent="0.35">
      <c r="A20" s="18" t="str">
        <f>'SA Validation'!$A$16</f>
        <v>Owned in a Limited Company</v>
      </c>
      <c r="B20" s="116">
        <v>1.25</v>
      </c>
      <c r="C20" s="23" t="str">
        <f>'SA Validation'!$A$3</f>
        <v>Fixed for less than 5 years</v>
      </c>
      <c r="D20" s="26" t="str">
        <f>'SA Validation'!$A$52</f>
        <v>=&lt;65%</v>
      </c>
      <c r="E20" s="46" t="str">
        <f t="shared" ref="E20:E31" si="3">CONCATENATE(A20,", ",B20,", ",C20,", ",D20)</f>
        <v>Owned in a Limited Company, 1.25, Fixed for less than 5 years, =&lt;65%</v>
      </c>
      <c r="F20" s="8">
        <f>MAX(5.5%,'Single Account FA '!$D$19+2%)</f>
        <v>5.5E-2</v>
      </c>
    </row>
    <row r="21" spans="1:6" x14ac:dyDescent="0.35">
      <c r="A21" s="164" t="s">
        <v>57</v>
      </c>
      <c r="B21" s="159">
        <v>1.25</v>
      </c>
      <c r="C21" s="52" t="str">
        <f>'SA Validation'!$A$3</f>
        <v>Fixed for less than 5 years</v>
      </c>
      <c r="D21" s="160" t="str">
        <f>'SA Validation'!$A$53</f>
        <v>&gt;65%</v>
      </c>
      <c r="E21" s="158" t="str">
        <f t="shared" si="3"/>
        <v>Owned in a Limited Company, 1.25, Fixed for less than 5 years, &gt;65%</v>
      </c>
      <c r="F21" s="161">
        <f>MAX(5.5%,'Single Account FA '!$D$19+2%)</f>
        <v>5.5E-2</v>
      </c>
    </row>
    <row r="22" spans="1:6" x14ac:dyDescent="0.35">
      <c r="A22" s="19" t="s">
        <v>57</v>
      </c>
      <c r="B22" s="117">
        <v>1.25</v>
      </c>
      <c r="C22" s="24" t="str">
        <f>'SA Validation'!$A$4</f>
        <v>Fixed for 5 or more years</v>
      </c>
      <c r="D22" s="151" t="str">
        <f>'SA Validation'!$A$52</f>
        <v>=&lt;65%</v>
      </c>
      <c r="E22" s="45" t="str">
        <f t="shared" si="3"/>
        <v>Owned in a Limited Company, 1.25, Fixed for 5 or more years, =&lt;65%</v>
      </c>
      <c r="F22" s="9">
        <f>MAX(4.5%,'Single Account FA '!$D$19+0%)</f>
        <v>4.4999999999999998E-2</v>
      </c>
    </row>
    <row r="23" spans="1:6" x14ac:dyDescent="0.35">
      <c r="A23" s="22" t="s">
        <v>57</v>
      </c>
      <c r="B23" s="124">
        <v>1.25</v>
      </c>
      <c r="C23" s="120" t="str">
        <f>'SA Validation'!$A$4</f>
        <v>Fixed for 5 or more years</v>
      </c>
      <c r="D23" s="152" t="str">
        <f>'SA Validation'!$A$53</f>
        <v>&gt;65%</v>
      </c>
      <c r="E23" s="122" t="str">
        <f t="shared" si="3"/>
        <v>Owned in a Limited Company, 1.25, Fixed for 5 or more years, &gt;65%</v>
      </c>
      <c r="F23" s="123">
        <f>MAX(4.5%,'Single Account FA '!$D$19+0%)</f>
        <v>4.4999999999999998E-2</v>
      </c>
    </row>
    <row r="24" spans="1:6" x14ac:dyDescent="0.35">
      <c r="A24" s="22" t="s">
        <v>57</v>
      </c>
      <c r="B24" s="124">
        <v>1.25</v>
      </c>
      <c r="C24" s="120" t="str">
        <f>'SA Validation'!$A$5</f>
        <v>Tracker or Variable</v>
      </c>
      <c r="D24" s="152" t="str">
        <f>'SA Validation'!$A$52</f>
        <v>=&lt;65%</v>
      </c>
      <c r="E24" s="122" t="str">
        <f t="shared" si="3"/>
        <v>Owned in a Limited Company, 1.25, Tracker or Variable, =&lt;65%</v>
      </c>
      <c r="F24" s="123">
        <f>MAX(5.5%,'Single Account FA '!$D$19+2%)</f>
        <v>5.5E-2</v>
      </c>
    </row>
    <row r="25" spans="1:6" ht="15" thickBot="1" x14ac:dyDescent="0.4">
      <c r="A25" s="20" t="s">
        <v>57</v>
      </c>
      <c r="B25" s="118">
        <v>1.25</v>
      </c>
      <c r="C25" s="25" t="str">
        <f>'SA Validation'!$A$5</f>
        <v>Tracker or Variable</v>
      </c>
      <c r="D25" s="21" t="str">
        <f>'SA Validation'!$A$53</f>
        <v>&gt;65%</v>
      </c>
      <c r="E25" s="47" t="str">
        <f t="shared" si="3"/>
        <v>Owned in a Limited Company, 1.25, Tracker or Variable, &gt;65%</v>
      </c>
      <c r="F25" s="12">
        <f>MAX(5.5%,'Single Account FA '!$D$19+2%)</f>
        <v>5.5E-2</v>
      </c>
    </row>
    <row r="26" spans="1:6" x14ac:dyDescent="0.35">
      <c r="A26" s="18" t="s">
        <v>57</v>
      </c>
      <c r="B26" s="116">
        <v>1.75</v>
      </c>
      <c r="C26" s="23" t="str">
        <f>'SA Validation'!$A$3</f>
        <v>Fixed for less than 5 years</v>
      </c>
      <c r="D26" s="26" t="str">
        <f>'SA Validation'!$A$52</f>
        <v>=&lt;65%</v>
      </c>
      <c r="E26" s="46" t="str">
        <f t="shared" si="3"/>
        <v>Owned in a Limited Company, 1.75, Fixed for less than 5 years, =&lt;65%</v>
      </c>
      <c r="F26" s="8">
        <f>MAX(5.5%,'Single Account FA '!$D$19+2%)</f>
        <v>5.5E-2</v>
      </c>
    </row>
    <row r="27" spans="1:6" x14ac:dyDescent="0.35">
      <c r="A27" s="164" t="s">
        <v>57</v>
      </c>
      <c r="B27" s="159">
        <v>1.75</v>
      </c>
      <c r="C27" s="52" t="str">
        <f>'SA Validation'!$A$3</f>
        <v>Fixed for less than 5 years</v>
      </c>
      <c r="D27" s="160" t="str">
        <f>'SA Validation'!$A$53</f>
        <v>&gt;65%</v>
      </c>
      <c r="E27" s="158" t="str">
        <f t="shared" si="3"/>
        <v>Owned in a Limited Company, 1.75, Fixed for less than 5 years, &gt;65%</v>
      </c>
      <c r="F27" s="161">
        <f>MAX(5.5%,'Single Account FA '!$D$19+2%)</f>
        <v>5.5E-2</v>
      </c>
    </row>
    <row r="28" spans="1:6" x14ac:dyDescent="0.35">
      <c r="A28" s="164" t="s">
        <v>57</v>
      </c>
      <c r="B28" s="159">
        <v>1.75</v>
      </c>
      <c r="C28" s="52" t="str">
        <f>'SA Validation'!$A$4</f>
        <v>Fixed for 5 or more years</v>
      </c>
      <c r="D28" s="160" t="str">
        <f>'SA Validation'!$A$52</f>
        <v>=&lt;65%</v>
      </c>
      <c r="E28" s="158" t="str">
        <f t="shared" si="3"/>
        <v>Owned in a Limited Company, 1.75, Fixed for 5 or more years, =&lt;65%</v>
      </c>
      <c r="F28" s="161">
        <f>MAX(4.5%,'Single Account FA '!$D$19+0%)</f>
        <v>4.4999999999999998E-2</v>
      </c>
    </row>
    <row r="29" spans="1:6" x14ac:dyDescent="0.35">
      <c r="A29" s="19" t="s">
        <v>57</v>
      </c>
      <c r="B29" s="117">
        <v>1.75</v>
      </c>
      <c r="C29" s="24" t="str">
        <f>'SA Validation'!$A$4</f>
        <v>Fixed for 5 or more years</v>
      </c>
      <c r="D29" s="151" t="str">
        <f>'SA Validation'!$A$53</f>
        <v>&gt;65%</v>
      </c>
      <c r="E29" s="45" t="str">
        <f t="shared" si="3"/>
        <v>Owned in a Limited Company, 1.75, Fixed for 5 or more years, &gt;65%</v>
      </c>
      <c r="F29" s="9">
        <f>MAX(4.5%,'Single Account FA '!$D$19+0%)</f>
        <v>4.4999999999999998E-2</v>
      </c>
    </row>
    <row r="30" spans="1:6" x14ac:dyDescent="0.35">
      <c r="A30" s="22" t="s">
        <v>57</v>
      </c>
      <c r="B30" s="124">
        <v>1.75</v>
      </c>
      <c r="C30" s="120" t="str">
        <f>'SA Validation'!$A$5</f>
        <v>Tracker or Variable</v>
      </c>
      <c r="D30" s="152" t="str">
        <f>'SA Validation'!$A$52</f>
        <v>=&lt;65%</v>
      </c>
      <c r="E30" s="122" t="str">
        <f t="shared" si="3"/>
        <v>Owned in a Limited Company, 1.75, Tracker or Variable, =&lt;65%</v>
      </c>
      <c r="F30" s="123">
        <f>MAX(5.5%,'Single Account FA '!$D$19+2%)</f>
        <v>5.5E-2</v>
      </c>
    </row>
    <row r="31" spans="1:6" ht="15" thickBot="1" x14ac:dyDescent="0.4">
      <c r="A31" s="20" t="s">
        <v>57</v>
      </c>
      <c r="B31" s="118">
        <v>1.75</v>
      </c>
      <c r="C31" s="25" t="str">
        <f>'SA Validation'!$A$5</f>
        <v>Tracker or Variable</v>
      </c>
      <c r="D31" s="21" t="str">
        <f>'SA Validation'!$A$53</f>
        <v>&gt;65%</v>
      </c>
      <c r="E31" s="47" t="str">
        <f t="shared" si="3"/>
        <v>Owned in a Limited Company, 1.75, Tracker or Variable, &gt;65%</v>
      </c>
      <c r="F31" s="12">
        <f>MAX(5.5%,'Single Account FA '!$D$19+2%)</f>
        <v>5.5E-2</v>
      </c>
    </row>
  </sheetData>
  <autoFilter ref="A1:F31" xr:uid="{AB6007AE-D7A8-4711-AE9A-9625103AD3E3}"/>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8B36-A0CC-401D-8453-AC4F4323BA68}">
  <sheetPr>
    <tabColor theme="8"/>
  </sheetPr>
  <dimension ref="A1:B66"/>
  <sheetViews>
    <sheetView workbookViewId="0">
      <selection activeCell="F32" sqref="F32"/>
    </sheetView>
  </sheetViews>
  <sheetFormatPr defaultRowHeight="14.5" x14ac:dyDescent="0.35"/>
  <cols>
    <col min="1" max="1" width="47.1796875" customWidth="1"/>
    <col min="2" max="2" width="13.81640625" bestFit="1" customWidth="1"/>
  </cols>
  <sheetData>
    <row r="1" spans="1:2" x14ac:dyDescent="0.35">
      <c r="A1" s="2"/>
    </row>
    <row r="2" spans="1:2" x14ac:dyDescent="0.35">
      <c r="A2" s="2" t="s">
        <v>45</v>
      </c>
    </row>
    <row r="3" spans="1:2" x14ac:dyDescent="0.35">
      <c r="A3" s="3" t="s">
        <v>46</v>
      </c>
    </row>
    <row r="4" spans="1:2" x14ac:dyDescent="0.35">
      <c r="A4" s="3" t="s">
        <v>13</v>
      </c>
    </row>
    <row r="5" spans="1:2" x14ac:dyDescent="0.35">
      <c r="A5" s="3" t="s">
        <v>47</v>
      </c>
    </row>
    <row r="6" spans="1:2" x14ac:dyDescent="0.35">
      <c r="A6" s="3"/>
    </row>
    <row r="7" spans="1:2" x14ac:dyDescent="0.35">
      <c r="A7" s="3"/>
    </row>
    <row r="8" spans="1:2" x14ac:dyDescent="0.35">
      <c r="A8" s="2" t="s">
        <v>48</v>
      </c>
      <c r="B8" t="s">
        <v>49</v>
      </c>
    </row>
    <row r="9" spans="1:2" x14ac:dyDescent="0.35">
      <c r="A9" s="3" t="s">
        <v>50</v>
      </c>
      <c r="B9" t="s">
        <v>51</v>
      </c>
    </row>
    <row r="10" spans="1:2" x14ac:dyDescent="0.35">
      <c r="A10" s="3" t="s">
        <v>52</v>
      </c>
      <c r="B10" t="s">
        <v>53</v>
      </c>
    </row>
    <row r="11" spans="1:2" x14ac:dyDescent="0.35">
      <c r="A11" s="3" t="s">
        <v>54</v>
      </c>
      <c r="B11" t="s">
        <v>53</v>
      </c>
    </row>
    <row r="12" spans="1:2" x14ac:dyDescent="0.35">
      <c r="A12" s="3" t="s">
        <v>55</v>
      </c>
      <c r="B12" t="s">
        <v>53</v>
      </c>
    </row>
    <row r="14" spans="1:2" x14ac:dyDescent="0.35">
      <c r="A14" s="2" t="s">
        <v>56</v>
      </c>
    </row>
    <row r="15" spans="1:2" x14ac:dyDescent="0.35">
      <c r="A15" s="3" t="s">
        <v>27</v>
      </c>
    </row>
    <row r="16" spans="1:2" x14ac:dyDescent="0.35">
      <c r="A16" s="3" t="s">
        <v>57</v>
      </c>
    </row>
    <row r="18" spans="1:1" x14ac:dyDescent="0.35">
      <c r="A18" s="2" t="s">
        <v>58</v>
      </c>
    </row>
    <row r="19" spans="1:1" x14ac:dyDescent="0.35">
      <c r="A19" s="3" t="s">
        <v>30</v>
      </c>
    </row>
    <row r="20" spans="1:1" x14ac:dyDescent="0.35">
      <c r="A20" s="3" t="s">
        <v>59</v>
      </c>
    </row>
    <row r="22" spans="1:1" x14ac:dyDescent="0.35">
      <c r="A22" s="2" t="s">
        <v>60</v>
      </c>
    </row>
    <row r="23" spans="1:1" x14ac:dyDescent="0.35">
      <c r="A23" s="3" t="s">
        <v>24</v>
      </c>
    </row>
    <row r="24" spans="1:1" x14ac:dyDescent="0.35">
      <c r="A24" s="3" t="s">
        <v>61</v>
      </c>
    </row>
    <row r="26" spans="1:1" x14ac:dyDescent="0.35">
      <c r="A26" s="2" t="s">
        <v>62</v>
      </c>
    </row>
    <row r="27" spans="1:1" x14ac:dyDescent="0.35">
      <c r="A27" s="3" t="s">
        <v>19</v>
      </c>
    </row>
    <row r="28" spans="1:1" x14ac:dyDescent="0.35">
      <c r="A28" s="3" t="s">
        <v>63</v>
      </c>
    </row>
    <row r="30" spans="1:1" x14ac:dyDescent="0.35">
      <c r="A30" s="2" t="s">
        <v>64</v>
      </c>
    </row>
    <row r="31" spans="1:1" x14ac:dyDescent="0.35">
      <c r="A31" s="3" t="s">
        <v>21</v>
      </c>
    </row>
    <row r="32" spans="1:1" x14ac:dyDescent="0.35">
      <c r="A32" s="3" t="s">
        <v>65</v>
      </c>
    </row>
    <row r="34" spans="1:1" x14ac:dyDescent="0.35">
      <c r="A34" s="2" t="s">
        <v>66</v>
      </c>
    </row>
    <row r="35" spans="1:1" x14ac:dyDescent="0.35">
      <c r="A35" s="3" t="s">
        <v>17</v>
      </c>
    </row>
    <row r="36" spans="1:1" x14ac:dyDescent="0.35">
      <c r="A36" s="3" t="s">
        <v>67</v>
      </c>
    </row>
    <row r="37" spans="1:1" x14ac:dyDescent="0.35">
      <c r="A37" s="3" t="s">
        <v>105</v>
      </c>
    </row>
    <row r="38" spans="1:1" x14ac:dyDescent="0.35">
      <c r="A38" s="3" t="s">
        <v>106</v>
      </c>
    </row>
    <row r="39" spans="1:1" x14ac:dyDescent="0.35">
      <c r="A39" s="3" t="s">
        <v>107</v>
      </c>
    </row>
    <row r="41" spans="1:1" x14ac:dyDescent="0.35">
      <c r="A41" s="1" t="s">
        <v>68</v>
      </c>
    </row>
    <row r="43" spans="1:1" x14ac:dyDescent="0.35">
      <c r="A43" s="41" t="s">
        <v>69</v>
      </c>
    </row>
    <row r="44" spans="1:1" x14ac:dyDescent="0.35">
      <c r="A44" s="43">
        <v>0.5</v>
      </c>
    </row>
    <row r="45" spans="1:1" x14ac:dyDescent="0.35">
      <c r="A45" s="43">
        <v>0.6</v>
      </c>
    </row>
    <row r="46" spans="1:1" x14ac:dyDescent="0.35">
      <c r="A46" s="43">
        <v>0.65</v>
      </c>
    </row>
    <row r="47" spans="1:1" x14ac:dyDescent="0.35">
      <c r="A47" s="43">
        <v>0.7</v>
      </c>
    </row>
    <row r="48" spans="1:1" x14ac:dyDescent="0.35">
      <c r="A48" s="43">
        <v>0.75</v>
      </c>
    </row>
    <row r="49" spans="1:1" x14ac:dyDescent="0.35">
      <c r="A49" s="43">
        <v>0.8</v>
      </c>
    </row>
    <row r="51" spans="1:1" x14ac:dyDescent="0.35">
      <c r="A51" s="41" t="s">
        <v>70</v>
      </c>
    </row>
    <row r="52" spans="1:1" x14ac:dyDescent="0.35">
      <c r="A52" s="156" t="s">
        <v>6</v>
      </c>
    </row>
    <row r="53" spans="1:1" x14ac:dyDescent="0.35">
      <c r="A53" s="157" t="s">
        <v>7</v>
      </c>
    </row>
    <row r="54" spans="1:1" x14ac:dyDescent="0.35">
      <c r="A54" s="42"/>
    </row>
    <row r="55" spans="1:1" x14ac:dyDescent="0.35">
      <c r="A55" t="s">
        <v>71</v>
      </c>
    </row>
    <row r="56" spans="1:1" x14ac:dyDescent="0.35">
      <c r="A56" s="189">
        <v>0.05</v>
      </c>
    </row>
    <row r="57" spans="1:1" x14ac:dyDescent="0.35">
      <c r="A57" s="189">
        <v>0.03</v>
      </c>
    </row>
    <row r="58" spans="1:1" x14ac:dyDescent="0.35">
      <c r="A58" s="189">
        <v>0.02</v>
      </c>
    </row>
    <row r="59" spans="1:1" x14ac:dyDescent="0.35">
      <c r="A59" s="191">
        <v>3995</v>
      </c>
    </row>
    <row r="60" spans="1:1" x14ac:dyDescent="0.35">
      <c r="A60" s="191">
        <v>1495</v>
      </c>
    </row>
    <row r="61" spans="1:1" x14ac:dyDescent="0.35">
      <c r="A61" s="191">
        <v>0</v>
      </c>
    </row>
    <row r="62" spans="1:1" x14ac:dyDescent="0.35">
      <c r="A62" s="191"/>
    </row>
    <row r="64" spans="1:1" x14ac:dyDescent="0.35">
      <c r="A64" t="s">
        <v>71</v>
      </c>
    </row>
    <row r="65" spans="1:2" x14ac:dyDescent="0.35">
      <c r="A65" t="s">
        <v>90</v>
      </c>
      <c r="B65" t="s">
        <v>95</v>
      </c>
    </row>
    <row r="66" spans="1:2" x14ac:dyDescent="0.35">
      <c r="A66" t="s">
        <v>91</v>
      </c>
      <c r="B66" t="s">
        <v>94</v>
      </c>
    </row>
  </sheetData>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3B79-4BB1-4051-A746-724421FF4F5E}">
  <sheetPr>
    <tabColor rgb="FFFF0000"/>
  </sheetPr>
  <dimension ref="A1:F31"/>
  <sheetViews>
    <sheetView zoomScale="70" zoomScaleNormal="70" workbookViewId="0">
      <selection activeCell="F32" sqref="F32"/>
    </sheetView>
  </sheetViews>
  <sheetFormatPr defaultRowHeight="14.5" x14ac:dyDescent="0.35"/>
  <cols>
    <col min="1" max="1" width="30.453125" customWidth="1"/>
    <col min="2" max="2" width="30.453125" style="108"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FA'!$D$18+2%)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FA'!$D$18+2%)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FA'!$D$18+0%)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FA'!$D$18+0%)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FA'!$D$18+2%)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FA'!$D$18+2%)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FA'!$D$18+2%)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FA'!$D$18+2%)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FA'!$D$18+0%)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FA'!$D$18+0%)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FA'!$D$18+2%)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FA'!$D$18+2%)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FA'!$D$18+2%)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FA'!$D$18+2%)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FA'!$D$18+0%)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FA'!$D$18+0%)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FA'!$D$18+2%)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FA'!$D$18+2%)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FA'!$D$18+2%)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FA'!$D$18+2%)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FA'!$D$18+0%)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FA'!$D$18+0%)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FA'!$D$18+2%)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FA'!$D$18+2%)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FA'!$D$18+2%)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FA'!$D$18+2%)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FA'!$D$18+0%)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FA'!$D$18+0%)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FA'!$D$18+2%)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FA'!$D$18+2%)</f>
        <v>5.5E-2</v>
      </c>
    </row>
  </sheetData>
  <autoFilter ref="A1:F31" xr:uid="{A7EC3B79-4BB1-4051-A746-724421FF4F5E}"/>
  <pageMargins left="0.7" right="0.7" top="0.75" bottom="0.75" header="0.3" footer="0.3"/>
  <pageSetup paperSize="9" orientation="portrait" r:id="rId1"/>
  <headerFooter>
    <oddHeader>&amp;L&amp;"Calibri"&amp;10&amp;K77b80dNBS Public&amp;1#</oddHeader>
    <oddFooter>&amp;L&amp;1#&amp;"Calibri"&amp;10&amp;K77b80dNBS Public</oddFooter>
  </headerFooter>
  <ignoredErrors>
    <ignoredError sqref="F29 F23 F25:F2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069D-40D4-40E6-B426-11FF2ED86A2D}">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FA'!$D$23+2%)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FA'!$D$23+2%)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FA'!$D$23+0%)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FA'!$D$23+0%)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FA'!$D$23+2%)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FA'!$D$23+2%)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FA'!$D$23+2%)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FA'!$D$23+2%)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FA'!$D$23+0%)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FA'!$D$23+0%)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FA'!$D$23+2%)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FA'!$D$23+2%)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FA'!$D$23+2%)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FA'!$D$23+2%)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FA'!$D$23+0%)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FA'!$D$23+0%)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FA'!$D$23+2%)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FA'!$D$23+2%)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FA'!$D$23+2%)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FA'!$D$23+2%)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FA'!$D$23+0%)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FA'!$D$23+0%)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FA'!$D$23+2%)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FA'!$D$23+2%)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FA'!$D$23+2%)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FA'!$D$23+2%)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FA'!$D$23+0%)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FA'!$D$23+0%)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FA'!$D$23+2%)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FA'!$D$23+2%)</f>
        <v>5.5E-2</v>
      </c>
    </row>
  </sheetData>
  <autoFilter ref="A1:F19" xr:uid="{91F9069D-40D4-40E6-B426-11FF2ED86A2D}"/>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02326-8074-4D3C-BE93-A50DFE3D7AF7}">
  <sheetPr>
    <tabColor rgb="FFFF0000"/>
  </sheetPr>
  <dimension ref="A1:F31"/>
  <sheetViews>
    <sheetView zoomScale="70" zoomScaleNormal="70" workbookViewId="0">
      <selection activeCell="F32" sqref="F32"/>
    </sheetView>
  </sheetViews>
  <sheetFormatPr defaultRowHeight="14.5" x14ac:dyDescent="0.35"/>
  <cols>
    <col min="1" max="2" width="30.453125" customWidth="1"/>
    <col min="3" max="4" width="31.54296875" customWidth="1"/>
    <col min="5" max="5" width="74.1796875" style="16" customWidth="1"/>
    <col min="6" max="6" width="15.54296875" style="4" customWidth="1"/>
  </cols>
  <sheetData>
    <row r="1" spans="1:6" ht="15" thickBot="1" x14ac:dyDescent="0.4">
      <c r="A1" s="44" t="s">
        <v>72</v>
      </c>
      <c r="B1" s="115" t="s">
        <v>9</v>
      </c>
      <c r="C1" s="10" t="s">
        <v>73</v>
      </c>
      <c r="D1" s="10" t="s">
        <v>77</v>
      </c>
      <c r="E1" s="48" t="s">
        <v>75</v>
      </c>
      <c r="F1" s="11" t="s">
        <v>76</v>
      </c>
    </row>
    <row r="2" spans="1:6" x14ac:dyDescent="0.35">
      <c r="A2" s="23" t="str">
        <f>'SA Validation'!$A$15</f>
        <v>Owned in personal names</v>
      </c>
      <c r="B2" s="116">
        <v>1.25</v>
      </c>
      <c r="C2" s="53" t="str">
        <f>'SA Validation'!$A$3</f>
        <v>Fixed for less than 5 years</v>
      </c>
      <c r="D2" s="53" t="str">
        <f>'MA Validation'!$A$52</f>
        <v>=&lt;65%</v>
      </c>
      <c r="E2" s="46" t="str">
        <f t="shared" ref="E2:E3" si="0">CONCATENATE(A2,", ",B2,", ",C2,", ",D2)</f>
        <v>Owned in personal names, 1.25, Fixed for less than 5 years, =&lt;65%</v>
      </c>
      <c r="F2" s="8">
        <f>MAX(5.5%,'Multiple Account FA'!$D$28+2%)</f>
        <v>5.5E-2</v>
      </c>
    </row>
    <row r="3" spans="1:6" x14ac:dyDescent="0.35">
      <c r="A3" s="52" t="str">
        <f>'SA Validation'!$A$15</f>
        <v>Owned in personal names</v>
      </c>
      <c r="B3" s="159">
        <v>1.25</v>
      </c>
      <c r="C3" s="162" t="str">
        <f>'SA Validation'!$A$3</f>
        <v>Fixed for less than 5 years</v>
      </c>
      <c r="D3" s="162" t="str">
        <f>'MA Validation'!$A$53</f>
        <v>&gt;65%</v>
      </c>
      <c r="E3" s="158" t="str">
        <f t="shared" si="0"/>
        <v>Owned in personal names, 1.25, Fixed for less than 5 years, &gt;65%</v>
      </c>
      <c r="F3" s="161">
        <f>MAX(5.5%,'Multiple Account FA'!$D$28+2%)</f>
        <v>5.5E-2</v>
      </c>
    </row>
    <row r="4" spans="1:6" x14ac:dyDescent="0.35">
      <c r="A4" s="52" t="str">
        <f>'SA Validation'!$A$15</f>
        <v>Owned in personal names</v>
      </c>
      <c r="B4" s="159">
        <v>1.25</v>
      </c>
      <c r="C4" s="162" t="str">
        <f>'SA Validation'!$A$4</f>
        <v>Fixed for 5 or more years</v>
      </c>
      <c r="D4" s="162" t="str">
        <f>'MA Validation'!$A$52</f>
        <v>=&lt;65%</v>
      </c>
      <c r="E4" s="158" t="str">
        <f>CONCATENATE(A4,", ",B4,", ",C4,", ",D4)</f>
        <v>Owned in personal names, 1.25, Fixed for 5 or more years, =&lt;65%</v>
      </c>
      <c r="F4" s="161">
        <f>MAX(4%,'Multiple Account FA'!$D$28+0%)</f>
        <v>0.04</v>
      </c>
    </row>
    <row r="5" spans="1:6" x14ac:dyDescent="0.35">
      <c r="A5" s="24" t="str">
        <f>'SA Validation'!$A$15</f>
        <v>Owned in personal names</v>
      </c>
      <c r="B5" s="117">
        <v>1.25</v>
      </c>
      <c r="C5" s="54" t="str">
        <f>'SA Validation'!$A$4</f>
        <v>Fixed for 5 or more years</v>
      </c>
      <c r="D5" s="54" t="str">
        <f>'MA Validation'!$A$53</f>
        <v>&gt;65%</v>
      </c>
      <c r="E5" s="45" t="str">
        <f>CONCATENATE(A5,", ",B5,", ",C5,", ",D5)</f>
        <v>Owned in personal names, 1.25, Fixed for 5 or more years, &gt;65%</v>
      </c>
      <c r="F5" s="9">
        <f>MAX(4.5%,'Multiple Account FA'!$D$28+0%)</f>
        <v>4.4999999999999998E-2</v>
      </c>
    </row>
    <row r="6" spans="1:6" x14ac:dyDescent="0.35">
      <c r="A6" s="24" t="str">
        <f>'SA Validation'!$A$15</f>
        <v>Owned in personal names</v>
      </c>
      <c r="B6" s="117">
        <v>1.25</v>
      </c>
      <c r="C6" s="54" t="str">
        <f>'SA Validation'!$A$5</f>
        <v>Tracker or Variable</v>
      </c>
      <c r="D6" s="54" t="str">
        <f>'MA Validation'!$A$52</f>
        <v>=&lt;65%</v>
      </c>
      <c r="E6" s="45" t="str">
        <f t="shared" ref="E6:E9" si="1">CONCATENATE(A6,", ",B6,", ",C6,", ",D6)</f>
        <v>Owned in personal names, 1.25, Tracker or Variable, =&lt;65%</v>
      </c>
      <c r="F6" s="9">
        <f>MAX(5.5%,'Multiple Account FA'!$D$28+2%)</f>
        <v>5.5E-2</v>
      </c>
    </row>
    <row r="7" spans="1:6" ht="15" thickBot="1" x14ac:dyDescent="0.4">
      <c r="A7" s="24" t="str">
        <f>'SA Validation'!$A$15</f>
        <v>Owned in personal names</v>
      </c>
      <c r="B7" s="117">
        <v>1.25</v>
      </c>
      <c r="C7" s="54" t="str">
        <f>'SA Validation'!$A$5</f>
        <v>Tracker or Variable</v>
      </c>
      <c r="D7" s="54" t="str">
        <f>'MA Validation'!$A$53</f>
        <v>&gt;65%</v>
      </c>
      <c r="E7" s="45" t="str">
        <f t="shared" si="1"/>
        <v>Owned in personal names, 1.25, Tracker or Variable, &gt;65%</v>
      </c>
      <c r="F7" s="9">
        <f>MAX(5.5%,'Multiple Account FA'!$D$28+2%)</f>
        <v>5.5E-2</v>
      </c>
    </row>
    <row r="8" spans="1:6" x14ac:dyDescent="0.35">
      <c r="A8" s="23" t="str">
        <f>'SA Validation'!$A$15</f>
        <v>Owned in personal names</v>
      </c>
      <c r="B8" s="116">
        <v>1.6</v>
      </c>
      <c r="C8" s="53" t="str">
        <f>'SA Validation'!$A$3</f>
        <v>Fixed for less than 5 years</v>
      </c>
      <c r="D8" s="53" t="str">
        <f>'MA Validation'!$A$52</f>
        <v>=&lt;65%</v>
      </c>
      <c r="E8" s="46" t="str">
        <f t="shared" si="1"/>
        <v>Owned in personal names, 1.6, Fixed for less than 5 years, =&lt;65%</v>
      </c>
      <c r="F8" s="8">
        <f>MAX(5.5%,'Multiple Account FA'!$D$28+2%)</f>
        <v>5.5E-2</v>
      </c>
    </row>
    <row r="9" spans="1:6" x14ac:dyDescent="0.35">
      <c r="A9" s="52" t="str">
        <f>'SA Validation'!$A$15</f>
        <v>Owned in personal names</v>
      </c>
      <c r="B9" s="159">
        <v>1.6</v>
      </c>
      <c r="C9" s="162" t="str">
        <f>'SA Validation'!$A$3</f>
        <v>Fixed for less than 5 years</v>
      </c>
      <c r="D9" s="162" t="str">
        <f>'MA Validation'!$A$53</f>
        <v>&gt;65%</v>
      </c>
      <c r="E9" s="158" t="str">
        <f t="shared" si="1"/>
        <v>Owned in personal names, 1.6, Fixed for less than 5 years, &gt;65%</v>
      </c>
      <c r="F9" s="161">
        <f>MAX(5.5%,'Multiple Account FA'!$D$28+2%)</f>
        <v>5.5E-2</v>
      </c>
    </row>
    <row r="10" spans="1:6" x14ac:dyDescent="0.35">
      <c r="A10" s="52" t="str">
        <f>'SA Validation'!$A$15</f>
        <v>Owned in personal names</v>
      </c>
      <c r="B10" s="159">
        <v>1.6</v>
      </c>
      <c r="C10" s="162" t="str">
        <f>'SA Validation'!$A$4</f>
        <v>Fixed for 5 or more years</v>
      </c>
      <c r="D10" s="162" t="str">
        <f>'MA Validation'!$A$52</f>
        <v>=&lt;65%</v>
      </c>
      <c r="E10" s="158" t="str">
        <f>CONCATENATE(A10,", ",B10,", ",C10,", ",D10)</f>
        <v>Owned in personal names, 1.6, Fixed for 5 or more years, =&lt;65%</v>
      </c>
      <c r="F10" s="161">
        <f>MAX(4%,'Multiple Account FA'!$D$28+0%)</f>
        <v>0.04</v>
      </c>
    </row>
    <row r="11" spans="1:6" x14ac:dyDescent="0.35">
      <c r="A11" s="24" t="str">
        <f>'SA Validation'!$A$15</f>
        <v>Owned in personal names</v>
      </c>
      <c r="B11" s="117">
        <v>1.6</v>
      </c>
      <c r="C11" s="54" t="str">
        <f>'SA Validation'!$A$4</f>
        <v>Fixed for 5 or more years</v>
      </c>
      <c r="D11" s="54" t="str">
        <f>'MA Validation'!$A$53</f>
        <v>&gt;65%</v>
      </c>
      <c r="E11" s="45" t="str">
        <f>CONCATENATE(A11,", ",B11,", ",C11,", ",D11)</f>
        <v>Owned in personal names, 1.6, Fixed for 5 or more years, &gt;65%</v>
      </c>
      <c r="F11" s="9">
        <f>MAX(4.5%,'Multiple Account FA'!$D$28+0%)</f>
        <v>4.4999999999999998E-2</v>
      </c>
    </row>
    <row r="12" spans="1:6" x14ac:dyDescent="0.35">
      <c r="A12" s="120" t="str">
        <f>'SA Validation'!$A$15</f>
        <v>Owned in personal names</v>
      </c>
      <c r="B12" s="124">
        <v>1.6</v>
      </c>
      <c r="C12" s="125" t="str">
        <f>'SA Validation'!$A$5</f>
        <v>Tracker or Variable</v>
      </c>
      <c r="D12" s="125" t="str">
        <f>'MA Validation'!$A$52</f>
        <v>=&lt;65%</v>
      </c>
      <c r="E12" s="122" t="str">
        <f t="shared" ref="E12:E15" si="2">CONCATENATE(A12,", ",B12,", ",C12,", ",D12)</f>
        <v>Owned in personal names, 1.6, Tracker or Variable, =&lt;65%</v>
      </c>
      <c r="F12" s="123">
        <f>MAX(5.5%,'Multiple Account FA'!$D$28+2%)</f>
        <v>5.5E-2</v>
      </c>
    </row>
    <row r="13" spans="1:6" ht="15" thickBot="1" x14ac:dyDescent="0.4">
      <c r="A13" s="120" t="str">
        <f>'SA Validation'!$A$15</f>
        <v>Owned in personal names</v>
      </c>
      <c r="B13" s="124">
        <v>1.6</v>
      </c>
      <c r="C13" s="125" t="str">
        <f>'SA Validation'!$A$5</f>
        <v>Tracker or Variable</v>
      </c>
      <c r="D13" s="125" t="str">
        <f>'MA Validation'!$A$53</f>
        <v>&gt;65%</v>
      </c>
      <c r="E13" s="122" t="str">
        <f t="shared" si="2"/>
        <v>Owned in personal names, 1.6, Tracker or Variable, &gt;65%</v>
      </c>
      <c r="F13" s="123">
        <f>MAX(5.5%,'Multiple Account FA'!$D$28+2%)</f>
        <v>5.5E-2</v>
      </c>
    </row>
    <row r="14" spans="1:6" x14ac:dyDescent="0.35">
      <c r="A14" s="23" t="str">
        <f>'SA Validation'!$A$15</f>
        <v>Owned in personal names</v>
      </c>
      <c r="B14" s="116">
        <v>1.75</v>
      </c>
      <c r="C14" s="53" t="str">
        <f>'SA Validation'!$A$3</f>
        <v>Fixed for less than 5 years</v>
      </c>
      <c r="D14" s="53" t="str">
        <f>'MA Validation'!$A$52</f>
        <v>=&lt;65%</v>
      </c>
      <c r="E14" s="46" t="str">
        <f t="shared" si="2"/>
        <v>Owned in personal names, 1.75, Fixed for less than 5 years, =&lt;65%</v>
      </c>
      <c r="F14" s="8">
        <f>MAX(5.5%,'Multiple Account FA'!$D$28+2%)</f>
        <v>5.5E-2</v>
      </c>
    </row>
    <row r="15" spans="1:6" x14ac:dyDescent="0.35">
      <c r="A15" s="52" t="str">
        <f>'SA Validation'!$A$15</f>
        <v>Owned in personal names</v>
      </c>
      <c r="B15" s="159">
        <v>1.75</v>
      </c>
      <c r="C15" s="162" t="str">
        <f>'SA Validation'!$A$3</f>
        <v>Fixed for less than 5 years</v>
      </c>
      <c r="D15" s="162" t="str">
        <f>'MA Validation'!$A$53</f>
        <v>&gt;65%</v>
      </c>
      <c r="E15" s="158" t="str">
        <f t="shared" si="2"/>
        <v>Owned in personal names, 1.75, Fixed for less than 5 years, &gt;65%</v>
      </c>
      <c r="F15" s="161">
        <f>MAX(5.5%,'Multiple Account FA'!$D$28+2%)</f>
        <v>5.5E-2</v>
      </c>
    </row>
    <row r="16" spans="1:6" x14ac:dyDescent="0.35">
      <c r="A16" s="52" t="str">
        <f>'SA Validation'!$A$15</f>
        <v>Owned in personal names</v>
      </c>
      <c r="B16" s="159">
        <v>1.75</v>
      </c>
      <c r="C16" s="162" t="str">
        <f>'SA Validation'!$A$4</f>
        <v>Fixed for 5 or more years</v>
      </c>
      <c r="D16" s="162" t="str">
        <f>'MA Validation'!$A$52</f>
        <v>=&lt;65%</v>
      </c>
      <c r="E16" s="158" t="str">
        <f>CONCATENATE(A16,", ",B16,", ",C16,", ",D16)</f>
        <v>Owned in personal names, 1.75, Fixed for 5 or more years, =&lt;65%</v>
      </c>
      <c r="F16" s="161">
        <f>MAX(4%,'Multiple Account FA'!$D$28+0%)</f>
        <v>0.04</v>
      </c>
    </row>
    <row r="17" spans="1:6" x14ac:dyDescent="0.35">
      <c r="A17" s="24" t="str">
        <f>'SA Validation'!$A$15</f>
        <v>Owned in personal names</v>
      </c>
      <c r="B17" s="117">
        <v>1.75</v>
      </c>
      <c r="C17" s="54" t="str">
        <f>'SA Validation'!$A$4</f>
        <v>Fixed for 5 or more years</v>
      </c>
      <c r="D17" s="54" t="str">
        <f>'MA Validation'!$A$53</f>
        <v>&gt;65%</v>
      </c>
      <c r="E17" s="45" t="str">
        <f>CONCATENATE(A17,", ",B17,", ",C17,", ",D17)</f>
        <v>Owned in personal names, 1.75, Fixed for 5 or more years, &gt;65%</v>
      </c>
      <c r="F17" s="9">
        <f>MAX(4.5%,'Multiple Account FA'!$D$28+0%)</f>
        <v>4.4999999999999998E-2</v>
      </c>
    </row>
    <row r="18" spans="1:6" x14ac:dyDescent="0.35">
      <c r="A18" s="120" t="str">
        <f>'SA Validation'!$A$15</f>
        <v>Owned in personal names</v>
      </c>
      <c r="B18" s="124">
        <v>1.75</v>
      </c>
      <c r="C18" s="125" t="str">
        <f>'SA Validation'!$A$5</f>
        <v>Tracker or Variable</v>
      </c>
      <c r="D18" s="125" t="str">
        <f>'MA Validation'!$A$52</f>
        <v>=&lt;65%</v>
      </c>
      <c r="E18" s="122" t="str">
        <f t="shared" ref="E18:E31" si="3">CONCATENATE(A18,", ",B18,", ",C18,", ",D18)</f>
        <v>Owned in personal names, 1.75, Tracker or Variable, =&lt;65%</v>
      </c>
      <c r="F18" s="123">
        <f>MAX(5.5%,'Multiple Account FA'!$D$28+2%)</f>
        <v>5.5E-2</v>
      </c>
    </row>
    <row r="19" spans="1:6" ht="15" thickBot="1" x14ac:dyDescent="0.4">
      <c r="A19" s="25" t="str">
        <f>'SA Validation'!$A$15</f>
        <v>Owned in personal names</v>
      </c>
      <c r="B19" s="118">
        <v>1.75</v>
      </c>
      <c r="C19" s="55" t="str">
        <f>'SA Validation'!$A$5</f>
        <v>Tracker or Variable</v>
      </c>
      <c r="D19" s="55" t="str">
        <f>'MA Validation'!$A$53</f>
        <v>&gt;65%</v>
      </c>
      <c r="E19" s="47" t="str">
        <f t="shared" si="3"/>
        <v>Owned in personal names, 1.75, Tracker or Variable, &gt;65%</v>
      </c>
      <c r="F19" s="12">
        <f>MAX(5.5%,'Multiple Account FA'!$D$28+2%)</f>
        <v>5.5E-2</v>
      </c>
    </row>
    <row r="20" spans="1:6" x14ac:dyDescent="0.35">
      <c r="A20" s="23" t="str">
        <f>'SA Validation'!$A$16</f>
        <v>Owned in a Limited Company</v>
      </c>
      <c r="B20" s="116">
        <v>1.25</v>
      </c>
      <c r="C20" s="53" t="str">
        <f>'SA Validation'!$A$3</f>
        <v>Fixed for less than 5 years</v>
      </c>
      <c r="D20" s="53" t="str">
        <f>'MA Validation'!$A$52</f>
        <v>=&lt;65%</v>
      </c>
      <c r="E20" s="46" t="str">
        <f t="shared" si="3"/>
        <v>Owned in a Limited Company, 1.25, Fixed for less than 5 years, =&lt;65%</v>
      </c>
      <c r="F20" s="8">
        <f>MAX(5.5%,'Multiple Account FA'!$D$28+2%)</f>
        <v>5.5E-2</v>
      </c>
    </row>
    <row r="21" spans="1:6" x14ac:dyDescent="0.35">
      <c r="A21" s="52" t="str">
        <f>'SA Validation'!$A$16</f>
        <v>Owned in a Limited Company</v>
      </c>
      <c r="B21" s="159">
        <v>1.25</v>
      </c>
      <c r="C21" s="162" t="str">
        <f>'SA Validation'!$A$3</f>
        <v>Fixed for less than 5 years</v>
      </c>
      <c r="D21" s="162" t="str">
        <f>'MA Validation'!$A$53</f>
        <v>&gt;65%</v>
      </c>
      <c r="E21" s="158" t="str">
        <f t="shared" si="3"/>
        <v>Owned in a Limited Company, 1.25, Fixed for less than 5 years, &gt;65%</v>
      </c>
      <c r="F21" s="161">
        <f>MAX(5.5%,'Multiple Account FA'!$D$28+2%)</f>
        <v>5.5E-2</v>
      </c>
    </row>
    <row r="22" spans="1:6" x14ac:dyDescent="0.35">
      <c r="A22" s="52" t="str">
        <f>'SA Validation'!$A$16</f>
        <v>Owned in a Limited Company</v>
      </c>
      <c r="B22" s="159">
        <v>1.25</v>
      </c>
      <c r="C22" s="162" t="str">
        <f>'SA Validation'!$A$4</f>
        <v>Fixed for 5 or more years</v>
      </c>
      <c r="D22" s="162" t="str">
        <f>'MA Validation'!$A$52</f>
        <v>=&lt;65%</v>
      </c>
      <c r="E22" s="158" t="str">
        <f t="shared" si="3"/>
        <v>Owned in a Limited Company, 1.25, Fixed for 5 or more years, =&lt;65%</v>
      </c>
      <c r="F22" s="161">
        <f>MAX(4.5%,'Multiple Account FA'!$D$28+0%)</f>
        <v>4.4999999999999998E-2</v>
      </c>
    </row>
    <row r="23" spans="1:6" x14ac:dyDescent="0.35">
      <c r="A23" s="24" t="str">
        <f>'SA Validation'!$A$16</f>
        <v>Owned in a Limited Company</v>
      </c>
      <c r="B23" s="117">
        <v>1.25</v>
      </c>
      <c r="C23" s="54" t="str">
        <f>'SA Validation'!$A$4</f>
        <v>Fixed for 5 or more years</v>
      </c>
      <c r="D23" s="54" t="str">
        <f>'MA Validation'!$A$53</f>
        <v>&gt;65%</v>
      </c>
      <c r="E23" s="45" t="str">
        <f t="shared" si="3"/>
        <v>Owned in a Limited Company, 1.25, Fixed for 5 or more years, &gt;65%</v>
      </c>
      <c r="F23" s="9">
        <f>MAX(4.5%,'Multiple Account FA'!$D$28+0%)</f>
        <v>4.4999999999999998E-2</v>
      </c>
    </row>
    <row r="24" spans="1:6" x14ac:dyDescent="0.35">
      <c r="A24" s="120" t="str">
        <f>'SA Validation'!$A$16</f>
        <v>Owned in a Limited Company</v>
      </c>
      <c r="B24" s="117">
        <v>1.25</v>
      </c>
      <c r="C24" s="125" t="str">
        <f>'SA Validation'!$A$5</f>
        <v>Tracker or Variable</v>
      </c>
      <c r="D24" s="125" t="str">
        <f>'MA Validation'!$A$52</f>
        <v>=&lt;65%</v>
      </c>
      <c r="E24" s="122" t="str">
        <f t="shared" si="3"/>
        <v>Owned in a Limited Company, 1.25, Tracker or Variable, =&lt;65%</v>
      </c>
      <c r="F24" s="123">
        <f>MAX(5.5%,'Multiple Account FA'!$D$28+2%)</f>
        <v>5.5E-2</v>
      </c>
    </row>
    <row r="25" spans="1:6" ht="15" thickBot="1" x14ac:dyDescent="0.4">
      <c r="A25" s="25" t="str">
        <f>'SA Validation'!$A$16</f>
        <v>Owned in a Limited Company</v>
      </c>
      <c r="B25" s="117">
        <v>1.25</v>
      </c>
      <c r="C25" s="55" t="str">
        <f>'SA Validation'!$A$5</f>
        <v>Tracker or Variable</v>
      </c>
      <c r="D25" s="55" t="str">
        <f>'MA Validation'!$A$53</f>
        <v>&gt;65%</v>
      </c>
      <c r="E25" s="47" t="str">
        <f t="shared" si="3"/>
        <v>Owned in a Limited Company, 1.25, Tracker or Variable, &gt;65%</v>
      </c>
      <c r="F25" s="12">
        <f>MAX(5.5%,'Multiple Account FA'!$D$28+2%)</f>
        <v>5.5E-2</v>
      </c>
    </row>
    <row r="26" spans="1:6" x14ac:dyDescent="0.35">
      <c r="A26" s="23" t="str">
        <f>'SA Validation'!$A$16</f>
        <v>Owned in a Limited Company</v>
      </c>
      <c r="B26" s="116">
        <v>1.75</v>
      </c>
      <c r="C26" s="53" t="str">
        <f>'SA Validation'!$A$3</f>
        <v>Fixed for less than 5 years</v>
      </c>
      <c r="D26" s="53" t="str">
        <f>'MA Validation'!$A$52</f>
        <v>=&lt;65%</v>
      </c>
      <c r="E26" s="46" t="str">
        <f t="shared" si="3"/>
        <v>Owned in a Limited Company, 1.75, Fixed for less than 5 years, =&lt;65%</v>
      </c>
      <c r="F26" s="8">
        <f>MAX(5.5%,'Multiple Account FA'!$D$28+2%)</f>
        <v>5.5E-2</v>
      </c>
    </row>
    <row r="27" spans="1:6" x14ac:dyDescent="0.35">
      <c r="A27" s="52" t="str">
        <f>'SA Validation'!$A$16</f>
        <v>Owned in a Limited Company</v>
      </c>
      <c r="B27" s="159">
        <v>1.75</v>
      </c>
      <c r="C27" s="162" t="str">
        <f>'SA Validation'!$A$3</f>
        <v>Fixed for less than 5 years</v>
      </c>
      <c r="D27" s="162" t="str">
        <f>'MA Validation'!$A$53</f>
        <v>&gt;65%</v>
      </c>
      <c r="E27" s="158" t="str">
        <f t="shared" si="3"/>
        <v>Owned in a Limited Company, 1.75, Fixed for less than 5 years, &gt;65%</v>
      </c>
      <c r="F27" s="161">
        <f>MAX(5.5%,'Multiple Account FA'!$D$28+2%)</f>
        <v>5.5E-2</v>
      </c>
    </row>
    <row r="28" spans="1:6" x14ac:dyDescent="0.35">
      <c r="A28" s="52" t="str">
        <f>'SA Validation'!$A$16</f>
        <v>Owned in a Limited Company</v>
      </c>
      <c r="B28" s="159">
        <v>1.75</v>
      </c>
      <c r="C28" s="162" t="str">
        <f>'SA Validation'!$A$4</f>
        <v>Fixed for 5 or more years</v>
      </c>
      <c r="D28" s="162" t="str">
        <f>'MA Validation'!$A$52</f>
        <v>=&lt;65%</v>
      </c>
      <c r="E28" s="158" t="str">
        <f t="shared" si="3"/>
        <v>Owned in a Limited Company, 1.75, Fixed for 5 or more years, =&lt;65%</v>
      </c>
      <c r="F28" s="161">
        <f>MAX(4.5%,'Multiple Account FA'!$D$28+0%)</f>
        <v>4.4999999999999998E-2</v>
      </c>
    </row>
    <row r="29" spans="1:6" x14ac:dyDescent="0.35">
      <c r="A29" s="24" t="str">
        <f>'SA Validation'!$A$16</f>
        <v>Owned in a Limited Company</v>
      </c>
      <c r="B29" s="117">
        <v>1.75</v>
      </c>
      <c r="C29" s="54" t="str">
        <f>'SA Validation'!$A$4</f>
        <v>Fixed for 5 or more years</v>
      </c>
      <c r="D29" s="54" t="str">
        <f>'MA Validation'!$A$53</f>
        <v>&gt;65%</v>
      </c>
      <c r="E29" s="45" t="str">
        <f t="shared" si="3"/>
        <v>Owned in a Limited Company, 1.75, Fixed for 5 or more years, &gt;65%</v>
      </c>
      <c r="F29" s="9">
        <f>MAX(4.5%,'Multiple Account FA'!$D$28+0%)</f>
        <v>4.4999999999999998E-2</v>
      </c>
    </row>
    <row r="30" spans="1:6" x14ac:dyDescent="0.35">
      <c r="A30" s="120" t="str">
        <f>'SA Validation'!$A$16</f>
        <v>Owned in a Limited Company</v>
      </c>
      <c r="B30" s="124">
        <v>1.75</v>
      </c>
      <c r="C30" s="125" t="str">
        <f>'SA Validation'!$A$5</f>
        <v>Tracker or Variable</v>
      </c>
      <c r="D30" s="125" t="str">
        <f>'MA Validation'!$A$52</f>
        <v>=&lt;65%</v>
      </c>
      <c r="E30" s="122" t="str">
        <f t="shared" si="3"/>
        <v>Owned in a Limited Company, 1.75, Tracker or Variable, =&lt;65%</v>
      </c>
      <c r="F30" s="123">
        <f>MAX(5.5%,'Multiple Account FA'!$D$28+2%)</f>
        <v>5.5E-2</v>
      </c>
    </row>
    <row r="31" spans="1:6" ht="15" thickBot="1" x14ac:dyDescent="0.4">
      <c r="A31" s="25" t="str">
        <f>'SA Validation'!$A$16</f>
        <v>Owned in a Limited Company</v>
      </c>
      <c r="B31" s="118">
        <v>1.75</v>
      </c>
      <c r="C31" s="55" t="str">
        <f>'SA Validation'!$A$5</f>
        <v>Tracker or Variable</v>
      </c>
      <c r="D31" s="55" t="str">
        <f>'MA Validation'!$A$53</f>
        <v>&gt;65%</v>
      </c>
      <c r="E31" s="47" t="str">
        <f t="shared" si="3"/>
        <v>Owned in a Limited Company, 1.75, Tracker or Variable, &gt;65%</v>
      </c>
      <c r="F31" s="12">
        <f>MAX(5.5%,'Multiple Account FA'!$D$28+2%)</f>
        <v>5.5E-2</v>
      </c>
    </row>
  </sheetData>
  <autoFilter ref="A1:F19" xr:uid="{38602326-8074-4D3C-BE93-A50DFE3D7AF7}"/>
  <pageMargins left="0.7" right="0.7" top="0.75" bottom="0.75" header="0.3" footer="0.3"/>
  <pageSetup paperSize="9" orientation="portrait" r:id="rId1"/>
  <headerFooter>
    <oddHeader>&amp;L&amp;"Calibri"&amp;10&amp;K77b80dNBS Public&amp;1#</oddHeader>
    <oddFooter>&amp;L&amp;1#&amp;"Calibri"&amp;10&amp;K77b80dNBS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BrokerorCustomer xmlns="ce73c13b-ac46-44d2-a482-5e0f0417c8ad" xsi:nil="true"/>
    <_ip_UnifiedCompliancePolicyProperties xmlns="http://schemas.microsoft.com/sharepoint/v3" xsi:nil="true"/>
    <lcf76f155ced4ddcb4097134ff3c332f xmlns="ce73c13b-ac46-44d2-a482-5e0f0417c8a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A9756F1943B4D87BE3AC621DA891A" ma:contentTypeVersion="17" ma:contentTypeDescription="Create a new document." ma:contentTypeScope="" ma:versionID="b131c3e0c125f4d84fcf09bc7f07ac20">
  <xsd:schema xmlns:xsd="http://www.w3.org/2001/XMLSchema" xmlns:xs="http://www.w3.org/2001/XMLSchema" xmlns:p="http://schemas.microsoft.com/office/2006/metadata/properties" xmlns:ns1="http://schemas.microsoft.com/sharepoint/v3" xmlns:ns2="da3a5efc-f1e4-4f0d-8206-b85a3a770e53" xmlns:ns3="ce73c13b-ac46-44d2-a482-5e0f0417c8ad" targetNamespace="http://schemas.microsoft.com/office/2006/metadata/properties" ma:root="true" ma:fieldsID="43932d013af054b801617d79af1e45b0" ns1:_="" ns2:_="" ns3:_="">
    <xsd:import namespace="http://schemas.microsoft.com/sharepoint/v3"/>
    <xsd:import namespace="da3a5efc-f1e4-4f0d-8206-b85a3a770e53"/>
    <xsd:import namespace="ce73c13b-ac46-44d2-a482-5e0f0417c8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3:BrokerorCustom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a5efc-f1e4-4f0d-8206-b85a3a770e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73c13b-ac46-44d2-a482-5e0f0417c8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8c72d2-c3b9-4465-9c90-6be555cd998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BrokerorCustomer" ma:index="23" nillable="true" ma:displayName="Broker or Customer " ma:format="Dropdown" ma:internalName="BrokerorCustomer">
      <xsd:simpleType>
        <xsd:union memberTypes="dms:Text">
          <xsd:simpleType>
            <xsd:restriction base="dms:Choice">
              <xsd:enumeration value="Customer"/>
              <xsd:enumeration value="Customer (Broker but not on website)"/>
              <xsd:enumeration value="Broker &amp; Customer"/>
            </xsd:restriction>
          </xsd:simpleType>
        </xsd:un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44AFD-2749-475C-AC00-5FA4604DC021}">
  <ds:schemaRefs>
    <ds:schemaRef ds:uri="da3a5efc-f1e4-4f0d-8206-b85a3a770e53"/>
    <ds:schemaRef ds:uri="ce73c13b-ac46-44d2-a482-5e0f0417c8ad"/>
    <ds:schemaRef ds:uri="http://purl.org/dc/dcmityp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microsoft.com/sharepoint/v3"/>
    <ds:schemaRef ds:uri="http://purl.org/dc/elements/1.1/"/>
  </ds:schemaRefs>
</ds:datastoreItem>
</file>

<file path=customXml/itemProps2.xml><?xml version="1.0" encoding="utf-8"?>
<ds:datastoreItem xmlns:ds="http://schemas.openxmlformats.org/officeDocument/2006/customXml" ds:itemID="{EAC49237-4B75-4C37-9721-DE6D6E45A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3a5efc-f1e4-4f0d-8206-b85a3a770e53"/>
    <ds:schemaRef ds:uri="ce73c13b-ac46-44d2-a482-5e0f0417c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1ED44D-0270-4475-AA55-094EE7F1D3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Single Account FA </vt:lpstr>
      <vt:lpstr>Multiple Account FA</vt:lpstr>
      <vt:lpstr>SA Validation</vt:lpstr>
      <vt:lpstr>SA Stress Rate (ML)</vt:lpstr>
      <vt:lpstr>SA Stress Rate (FA)</vt:lpstr>
      <vt:lpstr>MA Validation</vt:lpstr>
      <vt:lpstr>MA Stress Rate (ML1)</vt:lpstr>
      <vt:lpstr>MA Stress Rate (ML2)</vt:lpstr>
      <vt:lpstr>MA Stress Rate (ML3)</vt:lpstr>
      <vt:lpstr>MA Stress Rate (ML4)</vt:lpstr>
      <vt:lpstr>MA Stress Rate (ML5)</vt:lpstr>
      <vt:lpstr>MA Stress Rate (ML6)</vt:lpstr>
      <vt:lpstr>MA Stress Rate (FA)</vt:lpstr>
      <vt:lpstr>ICR</vt:lpstr>
      <vt:lpstr>Property Cap</vt:lpstr>
      <vt:lpstr>Exposure Cap</vt:lpstr>
      <vt:lpstr>'Multiple Account FA'!Print_Area</vt:lpstr>
      <vt:lpstr>'Single Account FA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Keir Fraser</dc:creator>
  <cp:keywords/>
  <dc:description/>
  <cp:lastModifiedBy>Temi Dehinbo</cp:lastModifiedBy>
  <cp:revision/>
  <dcterms:created xsi:type="dcterms:W3CDTF">2022-06-20T12:07:32Z</dcterms:created>
  <dcterms:modified xsi:type="dcterms:W3CDTF">2026-02-25T09:32:32Z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5727314-839f-4754-b45d-089346ddf4a4_Enabled">
    <vt:lpwstr>true</vt:lpwstr>
  </property>
  <property fmtid="{D5CDD505-2E9C-101B-9397-08002B2CF9AE}" pid="3" name="MSIP_Label_f5727314-839f-4754-b45d-089346ddf4a4_SetDate">
    <vt:lpwstr>2023-06-02T19:08:41Z</vt:lpwstr>
  </property>
  <property fmtid="{D5CDD505-2E9C-101B-9397-08002B2CF9AE}" pid="4" name="MSIP_Label_f5727314-839f-4754-b45d-089346ddf4a4_Method">
    <vt:lpwstr>Privileged</vt:lpwstr>
  </property>
  <property fmtid="{D5CDD505-2E9C-101B-9397-08002B2CF9AE}" pid="5" name="MSIP_Label_f5727314-839f-4754-b45d-089346ddf4a4_Name">
    <vt:lpwstr>NBS Public - Visible Label</vt:lpwstr>
  </property>
  <property fmtid="{D5CDD505-2E9C-101B-9397-08002B2CF9AE}" pid="6" name="MSIP_Label_f5727314-839f-4754-b45d-089346ddf4a4_SiteId">
    <vt:lpwstr>18ed93f5-e470-4996-b0ef-9554af985d50</vt:lpwstr>
  </property>
  <property fmtid="{D5CDD505-2E9C-101B-9397-08002B2CF9AE}" pid="7" name="MSIP_Label_f5727314-839f-4754-b45d-089346ddf4a4_ActionId">
    <vt:lpwstr>8e5cac5d-d9c1-4e1f-9477-6eab835e22b8</vt:lpwstr>
  </property>
  <property fmtid="{D5CDD505-2E9C-101B-9397-08002B2CF9AE}" pid="8" name="MSIP_Label_f5727314-839f-4754-b45d-089346ddf4a4_ContentBits">
    <vt:lpwstr>3</vt:lpwstr>
  </property>
  <property fmtid="{D5CDD505-2E9C-101B-9397-08002B2CF9AE}" pid="9" name="MediaServiceImageTags">
    <vt:lpwstr/>
  </property>
  <property fmtid="{D5CDD505-2E9C-101B-9397-08002B2CF9AE}" pid="10" name="ContentTypeId">
    <vt:lpwstr>0x0101001B7A9756F1943B4D87BE3AC621DA891A</vt:lpwstr>
  </property>
</Properties>
</file>